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20" windowHeight="11895"/>
  </bookViews>
  <sheets>
    <sheet name="ST" sheetId="1" r:id="rId1"/>
  </sheets>
  <calcPr calcId="145621"/>
</workbook>
</file>

<file path=xl/calcChain.xml><?xml version="1.0" encoding="utf-8"?>
<calcChain xmlns="http://schemas.openxmlformats.org/spreadsheetml/2006/main">
  <c r="L62" i="1" l="1"/>
  <c r="L55" i="1" l="1"/>
  <c r="L53" i="1"/>
  <c r="L52" i="1"/>
  <c r="R29" i="1"/>
  <c r="L56" i="1"/>
  <c r="L54" i="1"/>
  <c r="L47" i="1"/>
  <c r="L39" i="1"/>
  <c r="G39" i="1" s="1"/>
  <c r="L30" i="1"/>
  <c r="L29" i="1"/>
  <c r="L28" i="1"/>
  <c r="L27" i="1"/>
  <c r="G27" i="1" s="1"/>
  <c r="L24" i="1"/>
  <c r="G24" i="1" s="1"/>
  <c r="L23" i="1"/>
  <c r="G23" i="1" l="1"/>
  <c r="L38" i="1"/>
  <c r="G38" i="1" s="1"/>
  <c r="L37" i="1"/>
  <c r="G37" i="1" s="1"/>
  <c r="G31" i="1"/>
  <c r="G29" i="1" l="1"/>
  <c r="G28" i="1"/>
  <c r="L15" i="1"/>
  <c r="L17" i="1"/>
  <c r="G20" i="1" s="1"/>
  <c r="G58" i="1"/>
  <c r="G56" i="1"/>
  <c r="G54" i="1"/>
  <c r="G55" i="1"/>
  <c r="G53" i="1"/>
  <c r="G52" i="1"/>
  <c r="L48" i="1"/>
  <c r="G48" i="1" s="1"/>
  <c r="G47" i="1"/>
  <c r="L43" i="1"/>
  <c r="G43" i="1" s="1"/>
  <c r="L58" i="1"/>
  <c r="L32" i="1" l="1"/>
  <c r="G16" i="1" s="1"/>
  <c r="L33" i="1"/>
  <c r="L20" i="1"/>
  <c r="L60" i="1" l="1"/>
  <c r="E12" i="1" s="1"/>
  <c r="Q3" i="1" s="1"/>
  <c r="G18" i="1"/>
  <c r="R3" i="1" l="1"/>
  <c r="E13" i="1" s="1"/>
</calcChain>
</file>

<file path=xl/sharedStrings.xml><?xml version="1.0" encoding="utf-8"?>
<sst xmlns="http://schemas.openxmlformats.org/spreadsheetml/2006/main" count="86" uniqueCount="84">
  <si>
    <t>NASA Super Touring Class Calculator</t>
  </si>
  <si>
    <t>Maximum Chassis Dyno (whp)</t>
  </si>
  <si>
    <t>Adjusted Weight/Power Ratio</t>
  </si>
  <si>
    <t>Super Touring 1 (ST1) limit</t>
  </si>
  <si>
    <t>Super Touring 2 (ST2) limit</t>
  </si>
  <si>
    <t>Boolean Column</t>
  </si>
  <si>
    <t>Calculation Column</t>
  </si>
  <si>
    <t>raw hp/weight</t>
  </si>
  <si>
    <t>horsepower</t>
  </si>
  <si>
    <t>wagon give-back</t>
  </si>
  <si>
    <t>vehicle specific corr factor</t>
  </si>
  <si>
    <t>Adjusted hp/weight</t>
  </si>
  <si>
    <t>transmission takeaway</t>
  </si>
  <si>
    <t>awd takeaway</t>
  </si>
  <si>
    <t>fwd credit</t>
  </si>
  <si>
    <t>Your Class is</t>
  </si>
  <si>
    <t>slicks takeaway</t>
  </si>
  <si>
    <t>medium tire giveback</t>
  </si>
  <si>
    <t>small tire giveback</t>
  </si>
  <si>
    <t>heavy weight correction lookup</t>
  </si>
  <si>
    <t>light weight correction looup</t>
  </si>
  <si>
    <t>Light Weight Table</t>
  </si>
  <si>
    <t>Heavy Weight Table</t>
  </si>
  <si>
    <t>EQUAL TO OR GREATER THAN</t>
  </si>
  <si>
    <t>Class Lookup Table</t>
  </si>
  <si>
    <t>SU</t>
  </si>
  <si>
    <t>Minimum Competition Weight with driver (lbs)</t>
  </si>
  <si>
    <t>Sequential/Paddleshift/semi-automatic trans   -0.2</t>
  </si>
  <si>
    <t>Front-Wheel Drive   +1.0</t>
  </si>
  <si>
    <t>(enter number in pounds in the box above)</t>
  </si>
  <si>
    <t>Vehicle Specific Modification Factor--ST Rules Section 8</t>
  </si>
  <si>
    <t>(Only applies to a few vehicles--See the ST Rules.</t>
  </si>
  <si>
    <t>enter in the box as a decimal--examples:  -0.2 or +0.75)</t>
  </si>
  <si>
    <t>Dog Ring/Straight Cut Gears (non-synchromesh) and/or</t>
  </si>
  <si>
    <t>(applies only to AWD cars--all others must use Dynojet)</t>
  </si>
  <si>
    <t>(enter chassis Dyno whp in the box above)</t>
  </si>
  <si>
    <t>Weight Factor</t>
  </si>
  <si>
    <r>
      <rPr>
        <sz val="11"/>
        <color rgb="FFFF0000"/>
        <rFont val="Calibri"/>
        <family val="2"/>
        <scheme val="minor"/>
      </rPr>
      <t>S</t>
    </r>
    <r>
      <rPr>
        <sz val="11"/>
        <color rgb="FF0070C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1</t>
    </r>
  </si>
  <si>
    <t>weight</t>
  </si>
  <si>
    <r>
      <t xml:space="preserve">(If AWD </t>
    </r>
    <r>
      <rPr>
        <u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Mustang or Dyno Dynamics Dyno - check box below for 10% correction)</t>
    </r>
  </si>
  <si>
    <t>Modification of the floor pan for exhaust clearance only</t>
  </si>
  <si>
    <t>roof shape takeaway</t>
  </si>
  <si>
    <t>exhaust clearance takeaway</t>
  </si>
  <si>
    <t>Corrected HP</t>
  </si>
  <si>
    <t>Raw Weight/HP</t>
  </si>
  <si>
    <r>
      <rPr>
        <sz val="11"/>
        <color rgb="FFFF0000"/>
        <rFont val="Calibri"/>
        <family val="2"/>
        <scheme val="minor"/>
      </rPr>
      <t>S</t>
    </r>
    <r>
      <rPr>
        <sz val="11"/>
        <color rgb="FF0070C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</si>
  <si>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rPr>
        <sz val="11"/>
        <color rgb="FFFF0000"/>
        <rFont val="Calibri"/>
        <family val="2"/>
        <scheme val="minor"/>
      </rPr>
      <t>S</t>
    </r>
    <r>
      <rPr>
        <sz val="11"/>
        <color rgb="FF0070C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</si>
  <si>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Super Touring 3 (ST3) limit</t>
  </si>
  <si>
    <t>ST3 non-oem aero takeaway</t>
  </si>
  <si>
    <t>Rotary Engine (2 rotors or less, 1 turbo or less) +0.3</t>
  </si>
  <si>
    <t>rotary engine credit</t>
  </si>
  <si>
    <t>Naturally Aspirated Engine (1.9L or less) +0.3</t>
  </si>
  <si>
    <t>small engine credit</t>
  </si>
  <si>
    <t>Non Production Vehicle Type</t>
  </si>
  <si>
    <t>Production Vehicle Types</t>
  </si>
  <si>
    <t>non-prod ST1/2 takeaway</t>
  </si>
  <si>
    <t>non-prod ST3 takeaway</t>
  </si>
  <si>
    <t>(note - Non Production Vehicle Types cannot apply any Production Vehicle Type Factors)</t>
  </si>
  <si>
    <t>Engine Types</t>
  </si>
  <si>
    <t>Porsche takeaway</t>
  </si>
  <si>
    <t>Rear Engine Location (99+ year) Comp Weight &lt; 2700lbs -0.2</t>
  </si>
  <si>
    <t>Rear Engine Location (99+ year) Comp Weight 2700-2900lb -0.1</t>
  </si>
  <si>
    <t>Transmission Types</t>
  </si>
  <si>
    <t>Drivetrain Types</t>
  </si>
  <si>
    <t>4 door sedan or 5 door wagon   +0.2</t>
  </si>
  <si>
    <t>Modification of the OEM roof line/shape   -0.3</t>
  </si>
  <si>
    <t>and/or rocker panel for side exit exhaust only   -0.2</t>
  </si>
  <si>
    <r>
      <rPr>
        <u/>
        <sz val="11"/>
        <color theme="1"/>
        <rFont val="Calibri"/>
        <family val="2"/>
        <scheme val="minor"/>
      </rPr>
      <t>ST3 only</t>
    </r>
    <r>
      <rPr>
        <sz val="11"/>
        <color theme="1"/>
        <rFont val="Calibri"/>
        <family val="2"/>
        <scheme val="minor"/>
      </rPr>
      <t xml:space="preserve"> - Non OEM Aero -0.4</t>
    </r>
  </si>
  <si>
    <t>All-Wheel Drive   -0.3</t>
  </si>
  <si>
    <t>Tires</t>
  </si>
  <si>
    <t>Non-DOT Approved Compound/Construction tires   -0.7</t>
  </si>
  <si>
    <t>Non-DOT Tire Size 10.5" (267mm) to 9.6" (244mm)   +0.3</t>
  </si>
  <si>
    <t>Non-DOT Tire Size 9.5" (241mm) or smaller   +0.7</t>
  </si>
  <si>
    <t>DOT-approved Tire Width 250 to 275   +0.3</t>
  </si>
  <si>
    <t>DOT-approved Tire Width 245 or smaller   +0.7</t>
  </si>
  <si>
    <t>Check Box if Vehicle is exempt from sub-1800lb weight factor</t>
  </si>
  <si>
    <t>(ie: Allison Legacy, Baby Grand, Brunton Stalker, Caterham 7, Exomotive Exocet,</t>
  </si>
  <si>
    <t>Legends, Lotus 7, Pro Challenge, Thunder Roadster, Wesfield Super 7)</t>
  </si>
  <si>
    <t>less than 1800 factor</t>
  </si>
  <si>
    <t>in cell R29 refrences</t>
  </si>
  <si>
    <t>L62 checkbox triggered cell</t>
  </si>
  <si>
    <t>ST1 &amp; ST2    -0.4</t>
  </si>
  <si>
    <t>ST3                -0.7</t>
  </si>
  <si>
    <t>exempt factor trigger cell to the right, changes weight table cell to upper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</si>
</sst>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3" borderId="0" xfId="0" applyFill="1" applyBorder="1"/>
    <xf numFmtId="2" fontId="1" fillId="3" borderId="0" xfId="0" applyNumberFormat="1" applyFont="1" applyFill="1" applyBorder="1"/>
    <xf numFmtId="0" fontId="0" fillId="4" borderId="0" xfId="0" applyFill="1" applyBorder="1"/>
    <xf numFmtId="0" fontId="0" fillId="3" borderId="0" xfId="0" applyFill="1"/>
    <xf numFmtId="0" fontId="0" fillId="5" borderId="0" xfId="0" applyFill="1" applyBorder="1"/>
    <xf numFmtId="0" fontId="1" fillId="5" borderId="0" xfId="0" applyFont="1" applyFill="1" applyBorder="1"/>
    <xf numFmtId="0" fontId="0" fillId="6" borderId="0" xfId="0" applyFill="1" applyBorder="1"/>
    <xf numFmtId="2" fontId="0" fillId="6" borderId="0" xfId="0" applyNumberFormat="1" applyFill="1" applyBorder="1"/>
    <xf numFmtId="0" fontId="0" fillId="7" borderId="0" xfId="0" applyFill="1" applyBorder="1"/>
    <xf numFmtId="2" fontId="0" fillId="7" borderId="0" xfId="0" applyNumberFormat="1" applyFill="1" applyBorder="1"/>
    <xf numFmtId="164" fontId="2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 applyBorder="1"/>
    <xf numFmtId="0" fontId="0" fillId="3" borderId="1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5" borderId="0" xfId="0" applyNumberFormat="1" applyFill="1" applyBorder="1"/>
    <xf numFmtId="165" fontId="1" fillId="5" borderId="0" xfId="0" applyNumberFormat="1" applyFont="1" applyFill="1" applyBorder="1"/>
    <xf numFmtId="0" fontId="10" fillId="2" borderId="0" xfId="0" applyFont="1" applyFill="1" applyBorder="1" applyAlignment="1"/>
    <xf numFmtId="0" fontId="10" fillId="3" borderId="0" xfId="0" applyFont="1" applyFill="1" applyBorder="1" applyAlignment="1"/>
    <xf numFmtId="0" fontId="10" fillId="4" borderId="0" xfId="0" applyFont="1" applyFill="1" applyBorder="1"/>
    <xf numFmtId="0" fontId="10" fillId="3" borderId="0" xfId="0" applyFont="1" applyFill="1"/>
    <xf numFmtId="0" fontId="10" fillId="3" borderId="0" xfId="0" applyFont="1" applyFill="1" applyBorder="1"/>
    <xf numFmtId="0" fontId="1" fillId="3" borderId="0" xfId="0" applyFont="1" applyFill="1" applyBorder="1"/>
    <xf numFmtId="2" fontId="0" fillId="3" borderId="0" xfId="0" applyNumberFormat="1" applyFill="1" applyBorder="1" applyAlignment="1">
      <alignment horizontal="center" vertical="center"/>
    </xf>
    <xf numFmtId="2" fontId="0" fillId="4" borderId="0" xfId="0" applyNumberFormat="1" applyFill="1" applyBorder="1"/>
    <xf numFmtId="2" fontId="0" fillId="3" borderId="0" xfId="0" applyNumberForma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19" lockText="1" noThreeD="1"/>
</file>

<file path=xl/ctrlProps/ctrlProp10.xml><?xml version="1.0" encoding="utf-8"?>
<formControlPr xmlns="http://schemas.microsoft.com/office/spreadsheetml/2009/9/main" objectType="CheckBox" fmlaLink="$J$56" lockText="1" noThreeD="1"/>
</file>

<file path=xl/ctrlProps/ctrlProp11.xml><?xml version="1.0" encoding="utf-8"?>
<formControlPr xmlns="http://schemas.microsoft.com/office/spreadsheetml/2009/9/main" objectType="CheckBox" fmlaLink="$J$28" lockText="1" noThreeD="1"/>
</file>

<file path=xl/ctrlProps/ctrlProp12.xml><?xml version="1.0" encoding="utf-8"?>
<formControlPr xmlns="http://schemas.microsoft.com/office/spreadsheetml/2009/9/main" objectType="CheckBox" fmlaLink="$J$29" lockText="1" noThreeD="1"/>
</file>

<file path=xl/ctrlProps/ctrlProp13.xml><?xml version="1.0" encoding="utf-8"?>
<formControlPr xmlns="http://schemas.microsoft.com/office/spreadsheetml/2009/9/main" objectType="CheckBox" fmlaLink="$J$30" lockText="1" noThreeD="1"/>
</file>

<file path=xl/ctrlProps/ctrlProp14.xml><?xml version="1.0" encoding="utf-8"?>
<formControlPr xmlns="http://schemas.microsoft.com/office/spreadsheetml/2009/9/main" objectType="CheckBox" fmlaLink="$J$37" lockText="1" noThreeD="1"/>
</file>

<file path=xl/ctrlProps/ctrlProp15.xml><?xml version="1.0" encoding="utf-8"?>
<formControlPr xmlns="http://schemas.microsoft.com/office/spreadsheetml/2009/9/main" objectType="CheckBox" fmlaLink="$J$38" lockText="1" noThreeD="1"/>
</file>

<file path=xl/ctrlProps/ctrlProp16.xml><?xml version="1.0" encoding="utf-8"?>
<formControlPr xmlns="http://schemas.microsoft.com/office/spreadsheetml/2009/9/main" objectType="CheckBox" fmlaLink="$J$23" lockText="1" noThreeD="1"/>
</file>

<file path=xl/ctrlProps/ctrlProp17.xml><?xml version="1.0" encoding="utf-8"?>
<formControlPr xmlns="http://schemas.microsoft.com/office/spreadsheetml/2009/9/main" objectType="CheckBox" fmlaLink="$J$24" lockText="1" noThreeD="1"/>
</file>

<file path=xl/ctrlProps/ctrlProp18.xml><?xml version="1.0" encoding="utf-8"?>
<formControlPr xmlns="http://schemas.microsoft.com/office/spreadsheetml/2009/9/main" objectType="CheckBox" fmlaLink="$J$39" lockText="1" noThreeD="1"/>
</file>

<file path=xl/ctrlProps/ctrlProp19.xml><?xml version="1.0" encoding="utf-8"?>
<formControlPr xmlns="http://schemas.microsoft.com/office/spreadsheetml/2009/9/main" objectType="CheckBox" fmlaLink="$J$62" lockText="1" noThreeD="1"/>
</file>

<file path=xl/ctrlProps/ctrlProp2.xml><?xml version="1.0" encoding="utf-8"?>
<formControlPr xmlns="http://schemas.microsoft.com/office/spreadsheetml/2009/9/main" objectType="CheckBox" fmlaLink="$J$27" lockText="1" noThreeD="1"/>
</file>

<file path=xl/ctrlProps/ctrlProp3.xml><?xml version="1.0" encoding="utf-8"?>
<formControlPr xmlns="http://schemas.microsoft.com/office/spreadsheetml/2009/9/main" objectType="CheckBox" fmlaLink="$J$43" lockText="1" noThreeD="1"/>
</file>

<file path=xl/ctrlProps/ctrlProp4.xml><?xml version="1.0" encoding="utf-8"?>
<formControlPr xmlns="http://schemas.microsoft.com/office/spreadsheetml/2009/9/main" objectType="CheckBox" fmlaLink="$J$47" lockText="1" noThreeD="1"/>
</file>

<file path=xl/ctrlProps/ctrlProp5.xml><?xml version="1.0" encoding="utf-8"?>
<formControlPr xmlns="http://schemas.microsoft.com/office/spreadsheetml/2009/9/main" objectType="CheckBox" fmlaLink="$J$48" lockText="1" noThreeD="1"/>
</file>

<file path=xl/ctrlProps/ctrlProp6.xml><?xml version="1.0" encoding="utf-8"?>
<formControlPr xmlns="http://schemas.microsoft.com/office/spreadsheetml/2009/9/main" objectType="CheckBox" fmlaLink="$J$52" lockText="1" noThreeD="1"/>
</file>

<file path=xl/ctrlProps/ctrlProp7.xml><?xml version="1.0" encoding="utf-8"?>
<formControlPr xmlns="http://schemas.microsoft.com/office/spreadsheetml/2009/9/main" objectType="CheckBox" fmlaLink="$J$53" lockText="1" noThreeD="1"/>
</file>

<file path=xl/ctrlProps/ctrlProp8.xml><?xml version="1.0" encoding="utf-8"?>
<formControlPr xmlns="http://schemas.microsoft.com/office/spreadsheetml/2009/9/main" objectType="CheckBox" fmlaLink="$J$54" lockText="1" noThreeD="1"/>
</file>

<file path=xl/ctrlProps/ctrlProp9.xml><?xml version="1.0" encoding="utf-8"?>
<formControlPr xmlns="http://schemas.microsoft.com/office/spreadsheetml/2009/9/main" objectType="CheckBox" fmlaLink="$J$5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0</xdr:rowOff>
    </xdr:from>
    <xdr:to>
      <xdr:col>7</xdr:col>
      <xdr:colOff>114300</xdr:colOff>
      <xdr:row>4</xdr:row>
      <xdr:rowOff>161925</xdr:rowOff>
    </xdr:to>
    <xdr:pic>
      <xdr:nvPicPr>
        <xdr:cNvPr id="2" name="Picture 1" descr="nasa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85725"/>
          <a:ext cx="5200650" cy="733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18</xdr:row>
          <xdr:rowOff>171450</xdr:rowOff>
        </xdr:from>
        <xdr:to>
          <xdr:col>5</xdr:col>
          <xdr:colOff>9525</xdr:colOff>
          <xdr:row>20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25</xdr:row>
          <xdr:rowOff>161925</xdr:rowOff>
        </xdr:from>
        <xdr:to>
          <xdr:col>5</xdr:col>
          <xdr:colOff>9525</xdr:colOff>
          <xdr:row>27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42</xdr:row>
          <xdr:rowOff>76200</xdr:rowOff>
        </xdr:from>
        <xdr:to>
          <xdr:col>5</xdr:col>
          <xdr:colOff>9525</xdr:colOff>
          <xdr:row>43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45</xdr:row>
          <xdr:rowOff>171450</xdr:rowOff>
        </xdr:from>
        <xdr:to>
          <xdr:col>5</xdr:col>
          <xdr:colOff>9525</xdr:colOff>
          <xdr:row>47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46</xdr:row>
          <xdr:rowOff>171450</xdr:rowOff>
        </xdr:from>
        <xdr:to>
          <xdr:col>5</xdr:col>
          <xdr:colOff>9525</xdr:colOff>
          <xdr:row>48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50</xdr:row>
          <xdr:rowOff>161925</xdr:rowOff>
        </xdr:from>
        <xdr:to>
          <xdr:col>5</xdr:col>
          <xdr:colOff>9525</xdr:colOff>
          <xdr:row>52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51</xdr:row>
          <xdr:rowOff>171450</xdr:rowOff>
        </xdr:from>
        <xdr:to>
          <xdr:col>5</xdr:col>
          <xdr:colOff>9525</xdr:colOff>
          <xdr:row>53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52</xdr:row>
          <xdr:rowOff>171450</xdr:rowOff>
        </xdr:from>
        <xdr:to>
          <xdr:col>5</xdr:col>
          <xdr:colOff>9525</xdr:colOff>
          <xdr:row>54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53</xdr:row>
          <xdr:rowOff>171450</xdr:rowOff>
        </xdr:from>
        <xdr:to>
          <xdr:col>5</xdr:col>
          <xdr:colOff>9525</xdr:colOff>
          <xdr:row>55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54</xdr:row>
          <xdr:rowOff>171450</xdr:rowOff>
        </xdr:from>
        <xdr:to>
          <xdr:col>5</xdr:col>
          <xdr:colOff>9525</xdr:colOff>
          <xdr:row>56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26</xdr:row>
          <xdr:rowOff>171450</xdr:rowOff>
        </xdr:from>
        <xdr:to>
          <xdr:col>5</xdr:col>
          <xdr:colOff>9525</xdr:colOff>
          <xdr:row>28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</xdr:row>
          <xdr:rowOff>104775</xdr:rowOff>
        </xdr:from>
        <xdr:to>
          <xdr:col>5</xdr:col>
          <xdr:colOff>9525</xdr:colOff>
          <xdr:row>29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</xdr:row>
          <xdr:rowOff>171450</xdr:rowOff>
        </xdr:from>
        <xdr:to>
          <xdr:col>5</xdr:col>
          <xdr:colOff>9525</xdr:colOff>
          <xdr:row>31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35</xdr:row>
          <xdr:rowOff>161925</xdr:rowOff>
        </xdr:from>
        <xdr:to>
          <xdr:col>5</xdr:col>
          <xdr:colOff>9525</xdr:colOff>
          <xdr:row>37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36</xdr:row>
          <xdr:rowOff>171450</xdr:rowOff>
        </xdr:from>
        <xdr:to>
          <xdr:col>5</xdr:col>
          <xdr:colOff>9525</xdr:colOff>
          <xdr:row>38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21</xdr:row>
          <xdr:rowOff>161925</xdr:rowOff>
        </xdr:from>
        <xdr:to>
          <xdr:col>5</xdr:col>
          <xdr:colOff>9525</xdr:colOff>
          <xdr:row>23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22</xdr:row>
          <xdr:rowOff>171450</xdr:rowOff>
        </xdr:from>
        <xdr:to>
          <xdr:col>5</xdr:col>
          <xdr:colOff>9525</xdr:colOff>
          <xdr:row>24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38</xdr:row>
          <xdr:rowOff>57150</xdr:rowOff>
        </xdr:from>
        <xdr:to>
          <xdr:col>5</xdr:col>
          <xdr:colOff>9525</xdr:colOff>
          <xdr:row>39</xdr:row>
          <xdr:rowOff>95250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60</xdr:row>
          <xdr:rowOff>152400</xdr:rowOff>
        </xdr:from>
        <xdr:to>
          <xdr:col>5</xdr:col>
          <xdr:colOff>9525</xdr:colOff>
          <xdr:row>62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4"/>
  <sheetViews>
    <sheetView tabSelected="1" zoomScaleNormal="100" workbookViewId="0">
      <pane ySplit="13" topLeftCell="A14" activePane="bottomLeft" state="frozen"/>
      <selection pane="bottomLeft" activeCell="AA17" sqref="AA17"/>
    </sheetView>
  </sheetViews>
  <sheetFormatPr defaultRowHeight="15" x14ac:dyDescent="0.25"/>
  <cols>
    <col min="1" max="1" width="1.28515625" style="2" customWidth="1"/>
    <col min="2" max="3" width="9.140625" style="2"/>
    <col min="4" max="4" width="34.5703125" style="2" customWidth="1"/>
    <col min="5" max="5" width="11.42578125" style="2" customWidth="1"/>
    <col min="6" max="6" width="9.140625" style="2"/>
    <col min="7" max="7" width="9.140625" style="19"/>
    <col min="8" max="8" width="9.140625" style="2" customWidth="1"/>
    <col min="9" max="9" width="9.140625" style="2" hidden="1" customWidth="1"/>
    <col min="10" max="10" width="9.140625" style="1" hidden="1" customWidth="1"/>
    <col min="11" max="11" width="9.140625" style="2" hidden="1" customWidth="1"/>
    <col min="12" max="12" width="9.140625" style="4" hidden="1" customWidth="1"/>
    <col min="13" max="13" width="9.140625" style="5" hidden="1" customWidth="1"/>
    <col min="14" max="26" width="9.140625" style="2" hidden="1" customWidth="1"/>
    <col min="27" max="16384" width="9.140625" style="2"/>
  </cols>
  <sheetData>
    <row r="1" spans="1:18" ht="6.75" customHeight="1" x14ac:dyDescent="0.25"/>
    <row r="2" spans="1:18" x14ac:dyDescent="0.25">
      <c r="J2" s="1" t="s">
        <v>5</v>
      </c>
      <c r="L2" s="4" t="s">
        <v>6</v>
      </c>
      <c r="Q2" s="6" t="s">
        <v>24</v>
      </c>
      <c r="R2" s="6"/>
    </row>
    <row r="3" spans="1:18" x14ac:dyDescent="0.25">
      <c r="Q3" s="23">
        <f>ROUND(E12,3)</f>
        <v>10</v>
      </c>
      <c r="R3" s="7" t="str">
        <f>VLOOKUP(Q3,Q4:R7,2)</f>
        <v>ST3</v>
      </c>
    </row>
    <row r="4" spans="1:18" x14ac:dyDescent="0.25">
      <c r="Q4" s="22">
        <v>1E-10</v>
      </c>
      <c r="R4" s="6" t="s">
        <v>25</v>
      </c>
    </row>
    <row r="5" spans="1:18" x14ac:dyDescent="0.25">
      <c r="Q5" s="22">
        <v>5.4950000000000001</v>
      </c>
      <c r="R5" s="6" t="s">
        <v>37</v>
      </c>
    </row>
    <row r="6" spans="1:18" s="28" customFormat="1" ht="26.25" x14ac:dyDescent="0.4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24"/>
      <c r="K6" s="25"/>
      <c r="L6" s="26"/>
      <c r="M6" s="27"/>
      <c r="Q6" s="22">
        <v>7.9950000000000001</v>
      </c>
      <c r="R6" s="6" t="s">
        <v>45</v>
      </c>
    </row>
    <row r="7" spans="1:18" x14ac:dyDescent="0.25">
      <c r="Q7" s="22">
        <v>8.9949999999999992</v>
      </c>
      <c r="R7" s="6" t="s">
        <v>46</v>
      </c>
    </row>
    <row r="8" spans="1:18" x14ac:dyDescent="0.25">
      <c r="B8" s="33" t="s">
        <v>3</v>
      </c>
      <c r="C8" s="33"/>
      <c r="D8" s="33"/>
      <c r="E8" s="3">
        <v>5.5</v>
      </c>
    </row>
    <row r="9" spans="1:18" x14ac:dyDescent="0.25">
      <c r="B9" s="33" t="s">
        <v>4</v>
      </c>
      <c r="C9" s="33"/>
      <c r="D9" s="33"/>
      <c r="E9" s="3">
        <v>8</v>
      </c>
    </row>
    <row r="10" spans="1:18" x14ac:dyDescent="0.25">
      <c r="B10" s="33" t="s">
        <v>47</v>
      </c>
      <c r="C10" s="33"/>
      <c r="D10" s="33"/>
      <c r="E10" s="3">
        <v>9</v>
      </c>
    </row>
    <row r="11" spans="1:18" x14ac:dyDescent="0.25">
      <c r="B11" s="18"/>
      <c r="C11" s="18"/>
      <c r="D11" s="18"/>
      <c r="E11" s="3"/>
    </row>
    <row r="12" spans="1:18" ht="18.75" x14ac:dyDescent="0.3">
      <c r="B12" s="16" t="s">
        <v>2</v>
      </c>
      <c r="E12" s="12">
        <f>L60</f>
        <v>10</v>
      </c>
    </row>
    <row r="13" spans="1:18" ht="18.75" x14ac:dyDescent="0.3">
      <c r="B13" s="16" t="s">
        <v>15</v>
      </c>
      <c r="E13" s="12" t="str">
        <f>R3</f>
        <v>ST3</v>
      </c>
    </row>
    <row r="14" spans="1:18" ht="19.5" thickBot="1" x14ac:dyDescent="0.35">
      <c r="B14" s="16"/>
      <c r="E14" s="12"/>
      <c r="G14" s="2"/>
    </row>
    <row r="15" spans="1:18" ht="16.5" thickBot="1" x14ac:dyDescent="0.3">
      <c r="B15" s="14" t="s">
        <v>26</v>
      </c>
      <c r="E15" s="17">
        <v>3000</v>
      </c>
      <c r="G15" s="19" t="s">
        <v>36</v>
      </c>
      <c r="L15" s="4">
        <f>ROUNDUP(E15,0)</f>
        <v>3000</v>
      </c>
      <c r="M15" s="5" t="s">
        <v>38</v>
      </c>
    </row>
    <row r="16" spans="1:18" ht="15.75" thickBot="1" x14ac:dyDescent="0.3">
      <c r="C16" s="15" t="s">
        <v>29</v>
      </c>
      <c r="G16" s="20">
        <f>IF(L32&lt;0,L32,L33)</f>
        <v>0</v>
      </c>
    </row>
    <row r="17" spans="2:21" ht="16.5" thickBot="1" x14ac:dyDescent="0.3">
      <c r="B17" s="14" t="s">
        <v>1</v>
      </c>
      <c r="E17" s="17">
        <v>300</v>
      </c>
      <c r="G17" s="19" t="s">
        <v>44</v>
      </c>
      <c r="L17" s="4">
        <f>ROUND(IF(J19=TRUE,(E17*1.1),E17),0)</f>
        <v>300</v>
      </c>
      <c r="M17" s="5" t="s">
        <v>8</v>
      </c>
    </row>
    <row r="18" spans="2:21" x14ac:dyDescent="0.25">
      <c r="C18" s="15" t="s">
        <v>35</v>
      </c>
      <c r="G18" s="20">
        <f>L20</f>
        <v>10</v>
      </c>
    </row>
    <row r="19" spans="2:21" x14ac:dyDescent="0.25">
      <c r="B19" s="13" t="s">
        <v>39</v>
      </c>
      <c r="G19" s="19" t="s">
        <v>43</v>
      </c>
      <c r="J19" s="1" t="b">
        <v>0</v>
      </c>
      <c r="Q19" s="8"/>
      <c r="R19" s="8"/>
      <c r="T19" s="10"/>
      <c r="U19" s="10"/>
    </row>
    <row r="20" spans="2:21" x14ac:dyDescent="0.25">
      <c r="C20" s="15" t="s">
        <v>34</v>
      </c>
      <c r="G20" s="19">
        <f>L17</f>
        <v>300</v>
      </c>
      <c r="L20" s="4">
        <f>L15/L17</f>
        <v>10</v>
      </c>
      <c r="M20" s="5" t="s">
        <v>7</v>
      </c>
      <c r="Q20" s="8" t="s">
        <v>21</v>
      </c>
      <c r="R20" s="8"/>
      <c r="T20" s="10" t="s">
        <v>22</v>
      </c>
      <c r="U20" s="10"/>
    </row>
    <row r="21" spans="2:21" x14ac:dyDescent="0.25">
      <c r="C21" s="15"/>
      <c r="Q21" s="8"/>
      <c r="R21" s="8"/>
      <c r="T21" s="10"/>
      <c r="U21" s="10"/>
    </row>
    <row r="22" spans="2:21" x14ac:dyDescent="0.25">
      <c r="B22" s="29" t="s">
        <v>53</v>
      </c>
      <c r="C22" s="15"/>
      <c r="Q22" s="8"/>
      <c r="R22" s="8"/>
      <c r="T22" s="10"/>
      <c r="U22" s="10"/>
    </row>
    <row r="23" spans="2:21" x14ac:dyDescent="0.25">
      <c r="B23" s="2" t="s">
        <v>81</v>
      </c>
      <c r="C23" s="15"/>
      <c r="G23" s="21">
        <f>L23</f>
        <v>0</v>
      </c>
      <c r="J23" s="1" t="b">
        <v>0</v>
      </c>
      <c r="L23" s="4">
        <f>IF(J23=TRUE,-0.4,0)</f>
        <v>0</v>
      </c>
      <c r="M23" s="5" t="s">
        <v>55</v>
      </c>
      <c r="Q23" s="8" t="s">
        <v>78</v>
      </c>
      <c r="R23" s="8"/>
      <c r="T23" s="10"/>
      <c r="U23" s="10"/>
    </row>
    <row r="24" spans="2:21" x14ac:dyDescent="0.25">
      <c r="B24" s="2" t="s">
        <v>82</v>
      </c>
      <c r="C24" s="15"/>
      <c r="G24" s="21">
        <f>L24</f>
        <v>0</v>
      </c>
      <c r="J24" s="1" t="b">
        <v>0</v>
      </c>
      <c r="L24" s="4">
        <f>IF(J24=TRUE,-0.7,0)</f>
        <v>0</v>
      </c>
      <c r="M24" s="5" t="s">
        <v>56</v>
      </c>
      <c r="Q24" s="8" t="s">
        <v>79</v>
      </c>
      <c r="R24" s="8"/>
      <c r="T24" s="10"/>
      <c r="U24" s="10"/>
    </row>
    <row r="25" spans="2:21" x14ac:dyDescent="0.25">
      <c r="C25" s="15"/>
      <c r="Q25" s="8" t="s">
        <v>80</v>
      </c>
      <c r="R25" s="8"/>
      <c r="T25" s="10"/>
      <c r="U25" s="10"/>
    </row>
    <row r="26" spans="2:21" x14ac:dyDescent="0.25">
      <c r="B26" s="29" t="s">
        <v>54</v>
      </c>
      <c r="C26" s="15"/>
      <c r="Q26" s="8"/>
      <c r="R26" s="9"/>
      <c r="T26" s="10"/>
      <c r="U26" s="10"/>
    </row>
    <row r="27" spans="2:21" x14ac:dyDescent="0.25">
      <c r="B27" s="2" t="s">
        <v>64</v>
      </c>
      <c r="C27" s="15"/>
      <c r="G27" s="21">
        <f>L27</f>
        <v>0</v>
      </c>
      <c r="J27" s="1" t="b">
        <v>0</v>
      </c>
      <c r="L27" s="4">
        <f>IF(J27=TRUE,0.2,0)</f>
        <v>0</v>
      </c>
      <c r="M27" s="5" t="s">
        <v>9</v>
      </c>
      <c r="Q27" s="8"/>
      <c r="R27" s="9"/>
      <c r="T27" s="10"/>
      <c r="U27" s="10"/>
    </row>
    <row r="28" spans="2:21" x14ac:dyDescent="0.25">
      <c r="B28" s="2" t="s">
        <v>65</v>
      </c>
      <c r="C28" s="15"/>
      <c r="G28" s="30">
        <f>L28</f>
        <v>0</v>
      </c>
      <c r="J28" s="1" t="b">
        <v>0</v>
      </c>
      <c r="L28" s="4">
        <f>IF(J28=TRUE,-0.3,0)</f>
        <v>0</v>
      </c>
      <c r="M28" s="5" t="s">
        <v>41</v>
      </c>
      <c r="Q28" s="8"/>
      <c r="R28" s="9"/>
      <c r="T28" s="10"/>
      <c r="U28" s="10"/>
    </row>
    <row r="29" spans="2:21" x14ac:dyDescent="0.25">
      <c r="B29" s="2" t="s">
        <v>40</v>
      </c>
      <c r="G29" s="32">
        <f>L29</f>
        <v>0</v>
      </c>
      <c r="J29" s="1" t="b">
        <v>0</v>
      </c>
      <c r="L29" s="4">
        <f>IF(J29=TRUE,-0.2,0)</f>
        <v>0</v>
      </c>
      <c r="M29" s="5" t="s">
        <v>42</v>
      </c>
      <c r="Q29" s="8">
        <v>1</v>
      </c>
      <c r="R29" s="9">
        <f>L62</f>
        <v>-2</v>
      </c>
      <c r="T29" s="10" t="s">
        <v>23</v>
      </c>
      <c r="U29" s="10"/>
    </row>
    <row r="30" spans="2:21" x14ac:dyDescent="0.25">
      <c r="B30" s="2" t="s">
        <v>66</v>
      </c>
      <c r="G30" s="32"/>
      <c r="J30" s="1" t="b">
        <v>0</v>
      </c>
      <c r="L30" s="4">
        <f>IF(J30=TRUE,-0.4,0)</f>
        <v>0</v>
      </c>
      <c r="M30" s="5" t="s">
        <v>48</v>
      </c>
      <c r="Q30" s="8">
        <v>1800</v>
      </c>
      <c r="R30" s="9">
        <v>-0.3</v>
      </c>
      <c r="T30" s="10">
        <v>3300</v>
      </c>
      <c r="U30" s="11">
        <v>0.1</v>
      </c>
    </row>
    <row r="31" spans="2:21" x14ac:dyDescent="0.25">
      <c r="B31" s="2" t="s">
        <v>67</v>
      </c>
      <c r="G31" s="21">
        <f>L30</f>
        <v>0</v>
      </c>
      <c r="M31" s="2"/>
      <c r="Q31" s="8">
        <v>2200</v>
      </c>
      <c r="R31" s="9">
        <v>-0.2</v>
      </c>
      <c r="T31" s="10">
        <v>3400</v>
      </c>
      <c r="U31" s="11">
        <v>0.2</v>
      </c>
    </row>
    <row r="32" spans="2:21" x14ac:dyDescent="0.25">
      <c r="G32" s="2"/>
      <c r="L32" s="4">
        <f>IF(L15&lt;=3000,VLOOKUP(L15,Q29:R33,2),0)</f>
        <v>0</v>
      </c>
      <c r="M32" s="5" t="s">
        <v>20</v>
      </c>
      <c r="Q32" s="8">
        <v>2600</v>
      </c>
      <c r="R32" s="9">
        <v>-0.1</v>
      </c>
      <c r="T32" s="10">
        <v>3500</v>
      </c>
      <c r="U32" s="11">
        <v>0.3</v>
      </c>
    </row>
    <row r="33" spans="2:21" x14ac:dyDescent="0.25">
      <c r="B33" s="2" t="s">
        <v>57</v>
      </c>
      <c r="G33" s="21"/>
      <c r="L33" s="4">
        <f>IF(L15&gt;=3300,VLOOKUP(L15,T30:U35,2),0)</f>
        <v>0</v>
      </c>
      <c r="M33" s="5" t="s">
        <v>19</v>
      </c>
      <c r="Q33" s="8">
        <v>3000</v>
      </c>
      <c r="R33" s="8">
        <v>0</v>
      </c>
      <c r="T33" s="10">
        <v>3600</v>
      </c>
      <c r="U33" s="11">
        <v>0.4</v>
      </c>
    </row>
    <row r="34" spans="2:21" x14ac:dyDescent="0.25">
      <c r="G34" s="2"/>
      <c r="M34" s="2"/>
      <c r="Q34" s="8"/>
      <c r="R34" s="9"/>
      <c r="T34" s="10">
        <v>3700</v>
      </c>
      <c r="U34" s="11">
        <v>0.5</v>
      </c>
    </row>
    <row r="35" spans="2:21" x14ac:dyDescent="0.25">
      <c r="G35" s="2"/>
      <c r="M35" s="2"/>
      <c r="Q35" s="8"/>
      <c r="R35" s="9"/>
      <c r="T35" s="10">
        <v>3800</v>
      </c>
      <c r="U35" s="11">
        <v>0.6</v>
      </c>
    </row>
    <row r="36" spans="2:21" x14ac:dyDescent="0.25">
      <c r="B36" s="29" t="s">
        <v>58</v>
      </c>
      <c r="G36" s="21"/>
      <c r="Q36" s="8"/>
      <c r="R36" s="9"/>
      <c r="T36" s="10"/>
      <c r="U36" s="11"/>
    </row>
    <row r="37" spans="2:21" x14ac:dyDescent="0.25">
      <c r="B37" s="2" t="s">
        <v>49</v>
      </c>
      <c r="G37" s="21">
        <f>L37</f>
        <v>0</v>
      </c>
      <c r="J37" s="1" t="b">
        <v>0</v>
      </c>
      <c r="L37" s="4">
        <f>IF(J37=TRUE,0.3,0)</f>
        <v>0</v>
      </c>
      <c r="M37" s="2" t="s">
        <v>50</v>
      </c>
      <c r="Q37" s="8"/>
      <c r="R37" s="9"/>
      <c r="T37" s="10"/>
      <c r="U37" s="11"/>
    </row>
    <row r="38" spans="2:21" x14ac:dyDescent="0.25">
      <c r="B38" s="2" t="s">
        <v>51</v>
      </c>
      <c r="G38" s="21">
        <f>L38</f>
        <v>0</v>
      </c>
      <c r="J38" s="1" t="b">
        <v>0</v>
      </c>
      <c r="L38" s="4">
        <f>IF(J38=TRUE,0.3,0)</f>
        <v>0</v>
      </c>
      <c r="M38" s="2" t="s">
        <v>52</v>
      </c>
      <c r="Q38" s="8"/>
      <c r="R38" s="9"/>
      <c r="T38" s="10"/>
      <c r="U38" s="11"/>
    </row>
    <row r="39" spans="2:21" x14ac:dyDescent="0.25">
      <c r="B39" s="2" t="s">
        <v>60</v>
      </c>
      <c r="G39" s="32">
        <f>L39</f>
        <v>0</v>
      </c>
      <c r="J39" s="1" t="b">
        <v>0</v>
      </c>
      <c r="L39" s="4">
        <f>IF(J39,IF(E15&lt;2700,-0.2,IF(E15&lt;2901,-0.1,0)),0)</f>
        <v>0</v>
      </c>
      <c r="M39" s="2" t="s">
        <v>59</v>
      </c>
      <c r="Q39" s="8"/>
      <c r="R39" s="9"/>
      <c r="T39" s="10"/>
      <c r="U39" s="11"/>
    </row>
    <row r="40" spans="2:21" x14ac:dyDescent="0.25">
      <c r="B40" s="2" t="s">
        <v>61</v>
      </c>
      <c r="G40" s="32"/>
      <c r="M40" s="2"/>
      <c r="Q40" s="8"/>
      <c r="R40" s="9"/>
      <c r="T40" s="10"/>
      <c r="U40" s="11"/>
    </row>
    <row r="41" spans="2:21" x14ac:dyDescent="0.25">
      <c r="G41" s="30"/>
      <c r="M41" s="2"/>
      <c r="Q41" s="8"/>
      <c r="R41" s="9"/>
      <c r="T41" s="10"/>
      <c r="U41" s="11"/>
    </row>
    <row r="42" spans="2:21" x14ac:dyDescent="0.25">
      <c r="B42" s="29" t="s">
        <v>62</v>
      </c>
      <c r="G42" s="21"/>
      <c r="M42" s="2"/>
      <c r="Q42" s="8"/>
      <c r="R42" s="9"/>
      <c r="T42" s="10"/>
      <c r="U42" s="11"/>
    </row>
    <row r="43" spans="2:21" x14ac:dyDescent="0.25">
      <c r="B43" s="2" t="s">
        <v>33</v>
      </c>
      <c r="G43" s="32">
        <f>L43</f>
        <v>0</v>
      </c>
      <c r="J43" s="1" t="b">
        <v>0</v>
      </c>
      <c r="L43" s="4">
        <f>IF(J43=TRUE,-0.2,0)</f>
        <v>0</v>
      </c>
      <c r="M43" s="5" t="s">
        <v>12</v>
      </c>
      <c r="Q43" s="8"/>
      <c r="R43" s="9"/>
      <c r="T43" s="10"/>
      <c r="U43" s="11"/>
    </row>
    <row r="44" spans="2:21" x14ac:dyDescent="0.25">
      <c r="B44" s="2" t="s">
        <v>27</v>
      </c>
      <c r="G44" s="32"/>
      <c r="Q44" s="8"/>
      <c r="R44" s="9"/>
      <c r="T44" s="10"/>
      <c r="U44" s="11"/>
    </row>
    <row r="45" spans="2:21" x14ac:dyDescent="0.25">
      <c r="G45" s="21"/>
      <c r="Q45" s="8"/>
      <c r="R45" s="9"/>
      <c r="T45" s="10"/>
      <c r="U45" s="11"/>
    </row>
    <row r="46" spans="2:21" x14ac:dyDescent="0.25">
      <c r="B46" s="29" t="s">
        <v>63</v>
      </c>
      <c r="G46" s="21"/>
      <c r="Q46" s="8"/>
      <c r="R46" s="9"/>
      <c r="T46" s="10"/>
      <c r="U46" s="11"/>
    </row>
    <row r="47" spans="2:21" x14ac:dyDescent="0.25">
      <c r="B47" s="2" t="s">
        <v>68</v>
      </c>
      <c r="G47" s="21">
        <f>L47</f>
        <v>0</v>
      </c>
      <c r="J47" s="1" t="b">
        <v>0</v>
      </c>
      <c r="L47" s="4">
        <f>IF(J47=TRUE,-0.3,0)</f>
        <v>0</v>
      </c>
      <c r="M47" s="5" t="s">
        <v>13</v>
      </c>
      <c r="Q47" s="8"/>
      <c r="R47" s="9"/>
      <c r="T47" s="10"/>
      <c r="U47" s="11"/>
    </row>
    <row r="48" spans="2:21" x14ac:dyDescent="0.25">
      <c r="B48" s="2" t="s">
        <v>28</v>
      </c>
      <c r="G48" s="21">
        <f>L48</f>
        <v>0</v>
      </c>
      <c r="J48" s="1" t="b">
        <v>0</v>
      </c>
      <c r="L48" s="4">
        <f>IF(J48=TRUE,1,0)</f>
        <v>0</v>
      </c>
      <c r="M48" s="5" t="s">
        <v>14</v>
      </c>
      <c r="Q48" s="8"/>
      <c r="R48" s="8"/>
    </row>
    <row r="49" spans="2:13" x14ac:dyDescent="0.25">
      <c r="G49" s="21"/>
    </row>
    <row r="50" spans="2:13" x14ac:dyDescent="0.25">
      <c r="G50" s="21"/>
    </row>
    <row r="51" spans="2:13" x14ac:dyDescent="0.25">
      <c r="B51" s="29" t="s">
        <v>69</v>
      </c>
      <c r="G51" s="21"/>
      <c r="M51" s="2"/>
    </row>
    <row r="52" spans="2:13" x14ac:dyDescent="0.25">
      <c r="B52" s="2" t="s">
        <v>70</v>
      </c>
      <c r="G52" s="21">
        <f>L52</f>
        <v>0</v>
      </c>
      <c r="J52" s="1" t="b">
        <v>0</v>
      </c>
      <c r="L52" s="4">
        <f>IF(J52=TRUE,-0.7,0)</f>
        <v>0</v>
      </c>
      <c r="M52" s="5" t="s">
        <v>16</v>
      </c>
    </row>
    <row r="53" spans="2:13" x14ac:dyDescent="0.25">
      <c r="B53" s="2" t="s">
        <v>71</v>
      </c>
      <c r="G53" s="21">
        <f>L53</f>
        <v>0</v>
      </c>
      <c r="J53" s="1" t="b">
        <v>0</v>
      </c>
      <c r="L53" s="4">
        <f>IF(J53=TRUE,0.3,0)</f>
        <v>0</v>
      </c>
      <c r="M53" s="5" t="s">
        <v>17</v>
      </c>
    </row>
    <row r="54" spans="2:13" x14ac:dyDescent="0.25">
      <c r="B54" s="2" t="s">
        <v>72</v>
      </c>
      <c r="G54" s="21">
        <f>L54</f>
        <v>0</v>
      </c>
      <c r="J54" s="1" t="b">
        <v>0</v>
      </c>
      <c r="L54" s="4">
        <f>IF(J54=TRUE,0.7,0)</f>
        <v>0</v>
      </c>
      <c r="M54" s="5" t="s">
        <v>18</v>
      </c>
    </row>
    <row r="55" spans="2:13" x14ac:dyDescent="0.25">
      <c r="B55" s="2" t="s">
        <v>73</v>
      </c>
      <c r="G55" s="21">
        <f>L55</f>
        <v>0</v>
      </c>
      <c r="J55" s="1" t="b">
        <v>0</v>
      </c>
      <c r="L55" s="4">
        <f>IF(J55=TRUE,0.3,0)</f>
        <v>0</v>
      </c>
      <c r="M55" s="5" t="s">
        <v>17</v>
      </c>
    </row>
    <row r="56" spans="2:13" x14ac:dyDescent="0.25">
      <c r="B56" s="2" t="s">
        <v>74</v>
      </c>
      <c r="G56" s="21">
        <f>L56</f>
        <v>0</v>
      </c>
      <c r="J56" s="1" t="b">
        <v>0</v>
      </c>
      <c r="L56" s="4">
        <f>IF(J56=TRUE,0.7,0)</f>
        <v>0</v>
      </c>
      <c r="M56" s="5" t="s">
        <v>18</v>
      </c>
    </row>
    <row r="57" spans="2:13" ht="15.75" thickBot="1" x14ac:dyDescent="0.3">
      <c r="G57" s="21"/>
      <c r="M57" s="2"/>
    </row>
    <row r="58" spans="2:13" ht="15.75" thickBot="1" x14ac:dyDescent="0.3">
      <c r="B58" s="2" t="s">
        <v>30</v>
      </c>
      <c r="E58" s="17">
        <v>0</v>
      </c>
      <c r="G58" s="21">
        <f>E58</f>
        <v>0</v>
      </c>
      <c r="L58" s="4">
        <f>E58</f>
        <v>0</v>
      </c>
      <c r="M58" s="5" t="s">
        <v>10</v>
      </c>
    </row>
    <row r="59" spans="2:13" x14ac:dyDescent="0.25">
      <c r="B59" s="15" t="s">
        <v>31</v>
      </c>
    </row>
    <row r="60" spans="2:13" x14ac:dyDescent="0.25">
      <c r="B60" s="15" t="s">
        <v>32</v>
      </c>
      <c r="L60" s="4">
        <f>L20+SUM(L23:L59)</f>
        <v>10</v>
      </c>
      <c r="M60" s="5" t="s">
        <v>11</v>
      </c>
    </row>
    <row r="62" spans="2:13" ht="12.75" customHeight="1" x14ac:dyDescent="0.25">
      <c r="B62" s="2" t="s">
        <v>75</v>
      </c>
      <c r="J62" s="1" t="b">
        <v>0</v>
      </c>
      <c r="L62" s="31">
        <f>IF(J62,-0.3,-2)</f>
        <v>-2</v>
      </c>
      <c r="M62" s="2" t="s">
        <v>83</v>
      </c>
    </row>
    <row r="63" spans="2:13" x14ac:dyDescent="0.25">
      <c r="B63" s="2" t="s">
        <v>76</v>
      </c>
    </row>
    <row r="64" spans="2:13" x14ac:dyDescent="0.25">
      <c r="B64" s="2" t="s">
        <v>77</v>
      </c>
    </row>
  </sheetData>
  <mergeCells count="7">
    <mergeCell ref="G43:G44"/>
    <mergeCell ref="G29:G30"/>
    <mergeCell ref="B9:D9"/>
    <mergeCell ref="B8:D8"/>
    <mergeCell ref="A6:I6"/>
    <mergeCell ref="B10:D10"/>
    <mergeCell ref="G39:G40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18</xdr:row>
                    <xdr:rowOff>171450</xdr:rowOff>
                  </from>
                  <to>
                    <xdr:col>5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219075</xdr:colOff>
                    <xdr:row>25</xdr:row>
                    <xdr:rowOff>161925</xdr:rowOff>
                  </from>
                  <to>
                    <xdr:col>5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219075</xdr:colOff>
                    <xdr:row>42</xdr:row>
                    <xdr:rowOff>76200</xdr:rowOff>
                  </from>
                  <to>
                    <xdr:col>5</xdr:col>
                    <xdr:colOff>9525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219075</xdr:colOff>
                    <xdr:row>45</xdr:row>
                    <xdr:rowOff>171450</xdr:rowOff>
                  </from>
                  <to>
                    <xdr:col>5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219075</xdr:colOff>
                    <xdr:row>46</xdr:row>
                    <xdr:rowOff>171450</xdr:rowOff>
                  </from>
                  <to>
                    <xdr:col>5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219075</xdr:colOff>
                    <xdr:row>50</xdr:row>
                    <xdr:rowOff>161925</xdr:rowOff>
                  </from>
                  <to>
                    <xdr:col>5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219075</xdr:colOff>
                    <xdr:row>51</xdr:row>
                    <xdr:rowOff>171450</xdr:rowOff>
                  </from>
                  <to>
                    <xdr:col>5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219075</xdr:colOff>
                    <xdr:row>52</xdr:row>
                    <xdr:rowOff>171450</xdr:rowOff>
                  </from>
                  <to>
                    <xdr:col>5</xdr:col>
                    <xdr:colOff>9525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219075</xdr:colOff>
                    <xdr:row>53</xdr:row>
                    <xdr:rowOff>171450</xdr:rowOff>
                  </from>
                  <to>
                    <xdr:col>5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219075</xdr:colOff>
                    <xdr:row>54</xdr:row>
                    <xdr:rowOff>171450</xdr:rowOff>
                  </from>
                  <to>
                    <xdr:col>5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219075</xdr:colOff>
                    <xdr:row>26</xdr:row>
                    <xdr:rowOff>171450</xdr:rowOff>
                  </from>
                  <to>
                    <xdr:col>5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219075</xdr:colOff>
                    <xdr:row>28</xdr:row>
                    <xdr:rowOff>104775</xdr:rowOff>
                  </from>
                  <to>
                    <xdr:col>5</xdr:col>
                    <xdr:colOff>9525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219075</xdr:colOff>
                    <xdr:row>29</xdr:row>
                    <xdr:rowOff>171450</xdr:rowOff>
                  </from>
                  <to>
                    <xdr:col>5</xdr:col>
                    <xdr:colOff>9525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219075</xdr:colOff>
                    <xdr:row>35</xdr:row>
                    <xdr:rowOff>161925</xdr:rowOff>
                  </from>
                  <to>
                    <xdr:col>5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219075</xdr:colOff>
                    <xdr:row>36</xdr:row>
                    <xdr:rowOff>171450</xdr:rowOff>
                  </from>
                  <to>
                    <xdr:col>5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219075</xdr:colOff>
                    <xdr:row>21</xdr:row>
                    <xdr:rowOff>161925</xdr:rowOff>
                  </from>
                  <to>
                    <xdr:col>5</xdr:col>
                    <xdr:colOff>9525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219075</xdr:colOff>
                    <xdr:row>22</xdr:row>
                    <xdr:rowOff>171450</xdr:rowOff>
                  </from>
                  <to>
                    <xdr:col>5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219075</xdr:colOff>
                    <xdr:row>38</xdr:row>
                    <xdr:rowOff>57150</xdr:rowOff>
                  </from>
                  <to>
                    <xdr:col>5</xdr:col>
                    <xdr:colOff>9525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4</xdr:col>
                    <xdr:colOff>219075</xdr:colOff>
                    <xdr:row>60</xdr:row>
                    <xdr:rowOff>152400</xdr:rowOff>
                  </from>
                  <to>
                    <xdr:col>5</xdr:col>
                    <xdr:colOff>9525</xdr:colOff>
                    <xdr:row>62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</vt:lpstr>
    </vt:vector>
  </TitlesOfParts>
  <Company>Kinder Morgan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brewken1</dc:creator>
  <cp:lastModifiedBy>Grant</cp:lastModifiedBy>
  <dcterms:created xsi:type="dcterms:W3CDTF">2012-02-16T16:25:26Z</dcterms:created>
  <dcterms:modified xsi:type="dcterms:W3CDTF">2013-12-19T20:31:19Z</dcterms:modified>
</cp:coreProperties>
</file>