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y McCarthy\Dropbox\Molly Files\2016\RulesFinal2016\"/>
    </mc:Choice>
  </mc:AlternateContent>
  <bookViews>
    <workbookView xWindow="0" yWindow="0" windowWidth="9300" windowHeight="7680"/>
  </bookViews>
  <sheets>
    <sheet name="TT 123 &amp; ST Calculator" sheetId="1" r:id="rId1"/>
  </sheets>
  <calcPr calcId="152511" iterate="1" calcOnSave="0"/>
</workbook>
</file>

<file path=xl/calcChain.xml><?xml version="1.0" encoding="utf-8"?>
<calcChain xmlns="http://schemas.openxmlformats.org/spreadsheetml/2006/main">
  <c r="B47" i="1" l="1"/>
  <c r="B45" i="1"/>
  <c r="L46" i="1"/>
  <c r="G46" i="1" s="1"/>
  <c r="L44" i="1"/>
  <c r="G44" i="1" s="1"/>
  <c r="B43" i="1"/>
  <c r="B23" i="1"/>
  <c r="B30" i="1"/>
  <c r="B59" i="1" l="1"/>
  <c r="B58" i="1"/>
  <c r="B57" i="1"/>
  <c r="B56" i="1"/>
  <c r="B55" i="1"/>
  <c r="B51" i="1"/>
  <c r="B50" i="1"/>
  <c r="B39" i="1"/>
  <c r="B38" i="1"/>
  <c r="L38" i="1"/>
  <c r="B37" i="1"/>
  <c r="B36" i="1"/>
  <c r="B29" i="1"/>
  <c r="B27" i="1"/>
  <c r="B26" i="1"/>
  <c r="Q5" i="1"/>
  <c r="Q6" i="1"/>
  <c r="Q7" i="1"/>
  <c r="L17" i="1"/>
  <c r="L59" i="1"/>
  <c r="L58" i="1"/>
  <c r="L57" i="1"/>
  <c r="L56" i="1"/>
  <c r="L55" i="1"/>
  <c r="L51" i="1"/>
  <c r="L50" i="1"/>
  <c r="L42" i="1"/>
  <c r="L27" i="1"/>
  <c r="L28" i="1"/>
  <c r="L29" i="1"/>
  <c r="L26" i="1"/>
  <c r="L23" i="1"/>
  <c r="L65" i="1" l="1"/>
  <c r="U12" i="1" l="1"/>
  <c r="G38" i="1"/>
  <c r="G26" i="1"/>
  <c r="G23" i="1" l="1"/>
  <c r="L37" i="1"/>
  <c r="G37" i="1" s="1"/>
  <c r="L36" i="1"/>
  <c r="G36" i="1" s="1"/>
  <c r="G30" i="1"/>
  <c r="G28" i="1" l="1"/>
  <c r="G27" i="1"/>
  <c r="L15" i="1"/>
  <c r="G20" i="1"/>
  <c r="G61" i="1"/>
  <c r="G59" i="1"/>
  <c r="G57" i="1"/>
  <c r="G58" i="1"/>
  <c r="G56" i="1"/>
  <c r="G55" i="1"/>
  <c r="G51" i="1"/>
  <c r="G50" i="1"/>
  <c r="G42" i="1"/>
  <c r="L61" i="1"/>
  <c r="L31" i="1" l="1"/>
  <c r="G16" i="1" s="1"/>
  <c r="L32" i="1"/>
  <c r="L20" i="1"/>
  <c r="L63" i="1" l="1"/>
  <c r="E12" i="1" s="1"/>
  <c r="G18" i="1"/>
  <c r="Q3" i="1" l="1"/>
  <c r="R3" i="1" s="1"/>
  <c r="E13" i="1" s="1"/>
</calcChain>
</file>

<file path=xl/sharedStrings.xml><?xml version="1.0" encoding="utf-8"?>
<sst xmlns="http://schemas.openxmlformats.org/spreadsheetml/2006/main" count="72" uniqueCount="70">
  <si>
    <t>Boolean Column</t>
  </si>
  <si>
    <t>Calculation Column</t>
  </si>
  <si>
    <t>raw hp/weight</t>
  </si>
  <si>
    <t>horsepower</t>
  </si>
  <si>
    <t>wagon give-back</t>
  </si>
  <si>
    <t>vehicle specific corr factor</t>
  </si>
  <si>
    <t>Adjusted hp/weight</t>
  </si>
  <si>
    <t>awd takeaway</t>
  </si>
  <si>
    <t>fwd credit</t>
  </si>
  <si>
    <t>Your Class is</t>
  </si>
  <si>
    <t>slicks takeaway</t>
  </si>
  <si>
    <t>medium tire giveback</t>
  </si>
  <si>
    <t>small tire giveback</t>
  </si>
  <si>
    <t>heavy weight correction lookup</t>
  </si>
  <si>
    <t>light weight correction looup</t>
  </si>
  <si>
    <t>Light Weight Table</t>
  </si>
  <si>
    <t>Heavy Weight Table</t>
  </si>
  <si>
    <t>EQUAL TO OR GREATER THAN</t>
  </si>
  <si>
    <t>Class Lookup Table</t>
  </si>
  <si>
    <t>Minimum Competition Weight with driver (lbs)</t>
  </si>
  <si>
    <t>(enter number in pounds in the box above)</t>
  </si>
  <si>
    <t>(Only applies to a few vehicles--See the ST Rules.</t>
  </si>
  <si>
    <t>enter in the box as a decimal--examples:  -0.2 or +0.75)</t>
  </si>
  <si>
    <t>(applies only to AWD cars--all others must use Dynojet)</t>
  </si>
  <si>
    <t>(enter chassis Dyno whp in the box above)</t>
  </si>
  <si>
    <t>Weight Factor</t>
  </si>
  <si>
    <t>weight</t>
  </si>
  <si>
    <r>
      <t xml:space="preserve">(If AWD </t>
    </r>
    <r>
      <rPr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Mustang or Dyno Dynamics Dyno - check box below for 10% correction)</t>
    </r>
  </si>
  <si>
    <t>Modification of the floor pan for exhaust clearance only</t>
  </si>
  <si>
    <t>roof shape takeaway</t>
  </si>
  <si>
    <t>exhaust clearance takeaway</t>
  </si>
  <si>
    <t>Corrected HP</t>
  </si>
  <si>
    <t>Raw Weight/HP</t>
  </si>
  <si>
    <t>ST3 non-oem aero takeaway</t>
  </si>
  <si>
    <t>rotary engine credit</t>
  </si>
  <si>
    <t>small engine credit</t>
  </si>
  <si>
    <t>non-prod ST1/2 takeaway</t>
  </si>
  <si>
    <t>Porsche takeaway</t>
  </si>
  <si>
    <t>Check Box if Vehicle is exempt from sub-1800lb weight factor</t>
  </si>
  <si>
    <t>less than 1800 factor</t>
  </si>
  <si>
    <t>in cell R29 refrences</t>
  </si>
  <si>
    <t>L62 checkbox triggered cell</t>
  </si>
  <si>
    <t>exempt factor trigger cell to the right, changes weight table cell to upper right</t>
  </si>
  <si>
    <t>Non Production Vehicle Modification Factors</t>
  </si>
  <si>
    <t>Production Vehicle Modification Factors</t>
  </si>
  <si>
    <t>Engine Modification Factors</t>
  </si>
  <si>
    <t>Transmission Modification Factors</t>
  </si>
  <si>
    <t>Drivetrain Modification Factors</t>
  </si>
  <si>
    <t>Tire Modification Factors</t>
  </si>
  <si>
    <t>Adjusted Weight/Horsepower Ratio</t>
  </si>
  <si>
    <t>(note - Non Production Vehicle types should not apply any Production Vehicle Modification Factors)</t>
  </si>
  <si>
    <t>Thunder Roadster, Westfield Super 7)</t>
  </si>
  <si>
    <t xml:space="preserve">Exomotive Exocet, Legends, Lotus 7, MNR VortX RT, MNR GM 3, Pro Challenge, </t>
  </si>
  <si>
    <t>Time Trial 1 (TT1) limit</t>
  </si>
  <si>
    <t>Time Trial 2 (TT2) limit</t>
  </si>
  <si>
    <t>Time Trial 3 (TT3) limit</t>
  </si>
  <si>
    <t>Vehicle Specific Modification Factor--TT Rules Section 7.5</t>
  </si>
  <si>
    <t>TTU</t>
  </si>
  <si>
    <t>TT1</t>
  </si>
  <si>
    <t>TT2</t>
  </si>
  <si>
    <t>TT3</t>
  </si>
  <si>
    <t>Modifier Column</t>
  </si>
  <si>
    <t>TT1 &amp; TT2 ONLY Dog Ring/Straight Cut Gears (non-synchromesh)</t>
  </si>
  <si>
    <t>TT1/TT2 Sequential</t>
  </si>
  <si>
    <t>TT3 ONLY: OEM Street-legal model available paddle shift/DCT/SMG</t>
  </si>
  <si>
    <t>TT3 Sequential</t>
  </si>
  <si>
    <t>TT3 ONLY: Dog-ring/straight gears (non-synchromesh) and/or</t>
  </si>
  <si>
    <t xml:space="preserve">(ie: Allison Legacy, Ariel Spec Atom (no aero)Baby Grand, Bauer L.P. Catfish, Brunton Stalker, Caterham 7, </t>
  </si>
  <si>
    <t>NASA Time Trial U, 1, 2, 3 Class Calculator 2016</t>
  </si>
  <si>
    <t>Maximum Chassis Dyno (whp) (Avg HP for TT3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</si>
</sst>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2" fontId="1" fillId="3" borderId="0" xfId="0" applyNumberFormat="1" applyFont="1" applyFill="1" applyBorder="1"/>
    <xf numFmtId="0" fontId="0" fillId="4" borderId="0" xfId="0" applyFill="1" applyBorder="1"/>
    <xf numFmtId="0" fontId="0" fillId="3" borderId="0" xfId="0" applyFill="1"/>
    <xf numFmtId="0" fontId="0" fillId="5" borderId="0" xfId="0" applyFill="1" applyBorder="1"/>
    <xf numFmtId="0" fontId="1" fillId="5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7" borderId="0" xfId="0" applyFill="1" applyBorder="1"/>
    <xf numFmtId="2" fontId="0" fillId="7" borderId="0" xfId="0" applyNumberForma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5" borderId="0" xfId="0" applyNumberFormat="1" applyFill="1" applyBorder="1"/>
    <xf numFmtId="165" fontId="1" fillId="5" borderId="0" xfId="0" applyNumberFormat="1" applyFont="1" applyFill="1" applyBorder="1"/>
    <xf numFmtId="0" fontId="9" fillId="2" borderId="0" xfId="0" applyFont="1" applyFill="1" applyBorder="1" applyAlignment="1"/>
    <xf numFmtId="0" fontId="9" fillId="4" borderId="0" xfId="0" applyFont="1" applyFill="1" applyBorder="1"/>
    <xf numFmtId="0" fontId="9" fillId="3" borderId="0" xfId="0" applyFont="1" applyFill="1"/>
    <xf numFmtId="0" fontId="9" fillId="3" borderId="0" xfId="0" applyFont="1" applyFill="1" applyBorder="1"/>
    <xf numFmtId="0" fontId="1" fillId="3" borderId="0" xfId="0" applyFont="1" applyFill="1" applyBorder="1"/>
    <xf numFmtId="2" fontId="0" fillId="3" borderId="0" xfId="0" applyNumberFormat="1" applyFill="1" applyBorder="1" applyAlignment="1">
      <alignment horizontal="center" vertical="center"/>
    </xf>
    <xf numFmtId="2" fontId="0" fillId="4" borderId="0" xfId="0" applyNumberFormat="1" applyFill="1" applyBorder="1"/>
    <xf numFmtId="0" fontId="8" fillId="5" borderId="0" xfId="0" applyFont="1" applyFill="1" applyBorder="1"/>
    <xf numFmtId="0" fontId="0" fillId="8" borderId="0" xfId="0" applyFill="1" applyBorder="1"/>
    <xf numFmtId="0" fontId="9" fillId="8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9" lockText="1" noThreeD="1"/>
</file>

<file path=xl/ctrlProps/ctrlProp10.xml><?xml version="1.0" encoding="utf-8"?>
<formControlPr xmlns="http://schemas.microsoft.com/office/spreadsheetml/2009/9/main" objectType="CheckBox" fmlaLink="$J$59" lockText="1" noThreeD="1"/>
</file>

<file path=xl/ctrlProps/ctrlProp11.xml><?xml version="1.0" encoding="utf-8"?>
<formControlPr xmlns="http://schemas.microsoft.com/office/spreadsheetml/2009/9/main" objectType="CheckBox" fmlaLink="$J$27" lockText="1" noThreeD="1"/>
</file>

<file path=xl/ctrlProps/ctrlProp12.xml><?xml version="1.0" encoding="utf-8"?>
<formControlPr xmlns="http://schemas.microsoft.com/office/spreadsheetml/2009/9/main" objectType="CheckBox" fmlaLink="$J$28" lockText="1" noThreeD="1"/>
</file>

<file path=xl/ctrlProps/ctrlProp13.xml><?xml version="1.0" encoding="utf-8"?>
<formControlPr xmlns="http://schemas.microsoft.com/office/spreadsheetml/2009/9/main" objectType="CheckBox" fmlaLink="$J$29" lockText="1" noThreeD="1"/>
</file>

<file path=xl/ctrlProps/ctrlProp14.xml><?xml version="1.0" encoding="utf-8"?>
<formControlPr xmlns="http://schemas.microsoft.com/office/spreadsheetml/2009/9/main" objectType="CheckBox" fmlaLink="$J$36" lockText="1" noThreeD="1"/>
</file>

<file path=xl/ctrlProps/ctrlProp15.xml><?xml version="1.0" encoding="utf-8"?>
<formControlPr xmlns="http://schemas.microsoft.com/office/spreadsheetml/2009/9/main" objectType="CheckBox" fmlaLink="$J$37" lockText="1" noThreeD="1"/>
</file>

<file path=xl/ctrlProps/ctrlProp16.xml><?xml version="1.0" encoding="utf-8"?>
<formControlPr xmlns="http://schemas.microsoft.com/office/spreadsheetml/2009/9/main" objectType="CheckBox" fmlaLink="$J$23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$J$38" lockText="1" noThreeD="1"/>
</file>

<file path=xl/ctrlProps/ctrlProp19.xml><?xml version="1.0" encoding="utf-8"?>
<formControlPr xmlns="http://schemas.microsoft.com/office/spreadsheetml/2009/9/main" objectType="CheckBox" fmlaLink="$J$65" lockText="1" noThreeD="1"/>
</file>

<file path=xl/ctrlProps/ctrlProp2.xml><?xml version="1.0" encoding="utf-8"?>
<formControlPr xmlns="http://schemas.microsoft.com/office/spreadsheetml/2009/9/main" objectType="CheckBox" fmlaLink="$J$26" lockText="1" noThreeD="1"/>
</file>

<file path=xl/ctrlProps/ctrlProp20.xml><?xml version="1.0" encoding="utf-8"?>
<formControlPr xmlns="http://schemas.microsoft.com/office/spreadsheetml/2009/9/main" objectType="CheckBox" fmlaLink="$J$44" lockText="1" noThreeD="1"/>
</file>

<file path=xl/ctrlProps/ctrlProp21.xml><?xml version="1.0" encoding="utf-8"?>
<formControlPr xmlns="http://schemas.microsoft.com/office/spreadsheetml/2009/9/main" objectType="CheckBox" fmlaLink="$J46" lockText="1" noThreeD="1"/>
</file>

<file path=xl/ctrlProps/ctrlProp3.xml><?xml version="1.0" encoding="utf-8"?>
<formControlPr xmlns="http://schemas.microsoft.com/office/spreadsheetml/2009/9/main" objectType="CheckBox" fmlaLink="$J$42" lockText="1" noThreeD="1"/>
</file>

<file path=xl/ctrlProps/ctrlProp4.xml><?xml version="1.0" encoding="utf-8"?>
<formControlPr xmlns="http://schemas.microsoft.com/office/spreadsheetml/2009/9/main" objectType="CheckBox" fmlaLink="$J$50" lockText="1" noThreeD="1"/>
</file>

<file path=xl/ctrlProps/ctrlProp5.xml><?xml version="1.0" encoding="utf-8"?>
<formControlPr xmlns="http://schemas.microsoft.com/office/spreadsheetml/2009/9/main" objectType="CheckBox" fmlaLink="$J$51" lockText="1" noThreeD="1"/>
</file>

<file path=xl/ctrlProps/ctrlProp6.xml><?xml version="1.0" encoding="utf-8"?>
<formControlPr xmlns="http://schemas.microsoft.com/office/spreadsheetml/2009/9/main" objectType="CheckBox" fmlaLink="$J$55" lockText="1" noThreeD="1"/>
</file>

<file path=xl/ctrlProps/ctrlProp7.xml><?xml version="1.0" encoding="utf-8"?>
<formControlPr xmlns="http://schemas.microsoft.com/office/spreadsheetml/2009/9/main" objectType="CheckBox" fmlaLink="$J$56" lockText="1" noThreeD="1"/>
</file>

<file path=xl/ctrlProps/ctrlProp8.xml><?xml version="1.0" encoding="utf-8"?>
<formControlPr xmlns="http://schemas.microsoft.com/office/spreadsheetml/2009/9/main" objectType="CheckBox" fmlaLink="$J$57" lockText="1" noThreeD="1"/>
</file>

<file path=xl/ctrlProps/ctrlProp9.xml><?xml version="1.0" encoding="utf-8"?>
<formControlPr xmlns="http://schemas.microsoft.com/office/spreadsheetml/2009/9/main" objectType="CheckBox" fmlaLink="$J$5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171450</xdr:rowOff>
        </xdr:from>
        <xdr:to>
          <xdr:col>5</xdr:col>
          <xdr:colOff>9525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161925</xdr:rowOff>
        </xdr:from>
        <xdr:to>
          <xdr:col>5</xdr:col>
          <xdr:colOff>9525</xdr:colOff>
          <xdr:row>26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76200</xdr:rowOff>
        </xdr:from>
        <xdr:to>
          <xdr:col>5</xdr:col>
          <xdr:colOff>9525</xdr:colOff>
          <xdr:row>42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48</xdr:row>
          <xdr:rowOff>171450</xdr:rowOff>
        </xdr:from>
        <xdr:to>
          <xdr:col>5</xdr:col>
          <xdr:colOff>9525</xdr:colOff>
          <xdr:row>50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49</xdr:row>
          <xdr:rowOff>171450</xdr:rowOff>
        </xdr:from>
        <xdr:to>
          <xdr:col>5</xdr:col>
          <xdr:colOff>9525</xdr:colOff>
          <xdr:row>51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161925</xdr:rowOff>
        </xdr:from>
        <xdr:to>
          <xdr:col>5</xdr:col>
          <xdr:colOff>9525</xdr:colOff>
          <xdr:row>55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171450</xdr:rowOff>
        </xdr:from>
        <xdr:to>
          <xdr:col>5</xdr:col>
          <xdr:colOff>9525</xdr:colOff>
          <xdr:row>56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55</xdr:row>
          <xdr:rowOff>171450</xdr:rowOff>
        </xdr:from>
        <xdr:to>
          <xdr:col>5</xdr:col>
          <xdr:colOff>9525</xdr:colOff>
          <xdr:row>57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56</xdr:row>
          <xdr:rowOff>171450</xdr:rowOff>
        </xdr:from>
        <xdr:to>
          <xdr:col>5</xdr:col>
          <xdr:colOff>9525</xdr:colOff>
          <xdr:row>58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171450</xdr:rowOff>
        </xdr:from>
        <xdr:to>
          <xdr:col>5</xdr:col>
          <xdr:colOff>9525</xdr:colOff>
          <xdr:row>59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171450</xdr:rowOff>
        </xdr:from>
        <xdr:to>
          <xdr:col>5</xdr:col>
          <xdr:colOff>9525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104775</xdr:rowOff>
        </xdr:from>
        <xdr:to>
          <xdr:col>5</xdr:col>
          <xdr:colOff>9525</xdr:colOff>
          <xdr:row>28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171450</xdr:rowOff>
        </xdr:from>
        <xdr:to>
          <xdr:col>5</xdr:col>
          <xdr:colOff>9525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34</xdr:row>
          <xdr:rowOff>161925</xdr:rowOff>
        </xdr:from>
        <xdr:to>
          <xdr:col>5</xdr:col>
          <xdr:colOff>9525</xdr:colOff>
          <xdr:row>36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171450</xdr:rowOff>
        </xdr:from>
        <xdr:to>
          <xdr:col>5</xdr:col>
          <xdr:colOff>9525</xdr:colOff>
          <xdr:row>37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161925</xdr:rowOff>
        </xdr:from>
        <xdr:to>
          <xdr:col>5</xdr:col>
          <xdr:colOff>9525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171450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57150</xdr:rowOff>
        </xdr:from>
        <xdr:to>
          <xdr:col>5</xdr:col>
          <xdr:colOff>9525</xdr:colOff>
          <xdr:row>38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63</xdr:row>
          <xdr:rowOff>152400</xdr:rowOff>
        </xdr:from>
        <xdr:to>
          <xdr:col>5</xdr:col>
          <xdr:colOff>9525</xdr:colOff>
          <xdr:row>65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161925</xdr:rowOff>
        </xdr:from>
        <xdr:to>
          <xdr:col>5</xdr:col>
          <xdr:colOff>9525</xdr:colOff>
          <xdr:row>44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45</xdr:row>
          <xdr:rowOff>66675</xdr:rowOff>
        </xdr:from>
        <xdr:to>
          <xdr:col>5</xdr:col>
          <xdr:colOff>19050</xdr:colOff>
          <xdr:row>46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571500</xdr:colOff>
      <xdr:row>4</xdr:row>
      <xdr:rowOff>76200</xdr:rowOff>
    </xdr:to>
    <xdr:pic>
      <xdr:nvPicPr>
        <xdr:cNvPr id="25" name="Picture 24" descr="nasa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006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"/>
  <sheetViews>
    <sheetView tabSelected="1" zoomScaleNormal="100" workbookViewId="0">
      <pane ySplit="13" topLeftCell="A14" activePane="bottomLeft" state="frozen"/>
      <selection pane="bottomLeft" activeCell="AA23" sqref="AA23"/>
    </sheetView>
  </sheetViews>
  <sheetFormatPr defaultRowHeight="15" x14ac:dyDescent="0.25"/>
  <cols>
    <col min="1" max="1" width="1.28515625" style="2" customWidth="1"/>
    <col min="2" max="3" width="9.140625" style="2"/>
    <col min="4" max="4" width="38.42578125" style="2" customWidth="1"/>
    <col min="5" max="5" width="11.42578125" style="2" customWidth="1"/>
    <col min="6" max="6" width="9.140625" style="2"/>
    <col min="7" max="7" width="9.140625" style="19"/>
    <col min="8" max="8" width="9.140625" style="2" customWidth="1"/>
    <col min="9" max="9" width="9.140625" style="2" hidden="1" customWidth="1"/>
    <col min="10" max="10" width="15.7109375" style="1" hidden="1" customWidth="1"/>
    <col min="11" max="11" width="16.140625" style="32" hidden="1" customWidth="1"/>
    <col min="12" max="12" width="18.42578125" style="4" hidden="1" customWidth="1"/>
    <col min="13" max="13" width="9.140625" style="5" hidden="1" customWidth="1"/>
    <col min="14" max="25" width="9.140625" style="2" hidden="1" customWidth="1"/>
    <col min="26" max="26" width="9.140625" style="2" customWidth="1"/>
    <col min="27" max="16384" width="9.140625" style="2"/>
  </cols>
  <sheetData>
    <row r="1" spans="1:24" ht="6.75" customHeight="1" x14ac:dyDescent="0.25"/>
    <row r="2" spans="1:24" x14ac:dyDescent="0.25">
      <c r="J2" s="1" t="s">
        <v>0</v>
      </c>
      <c r="K2" s="32" t="s">
        <v>61</v>
      </c>
      <c r="L2" s="4" t="s">
        <v>1</v>
      </c>
      <c r="Q2" s="6" t="s">
        <v>18</v>
      </c>
      <c r="R2" s="6"/>
      <c r="T2" s="8"/>
      <c r="U2" s="8"/>
      <c r="W2" s="10"/>
      <c r="X2" s="10"/>
    </row>
    <row r="3" spans="1:24" x14ac:dyDescent="0.25">
      <c r="Q3" s="23">
        <f>ROUND(E12,3)</f>
        <v>10</v>
      </c>
      <c r="R3" s="7" t="str">
        <f>VLOOKUP(Q3,Q4:R7,2)</f>
        <v>TT3</v>
      </c>
      <c r="T3" s="8" t="s">
        <v>15</v>
      </c>
      <c r="U3" s="8"/>
      <c r="W3" s="10" t="s">
        <v>16</v>
      </c>
      <c r="X3" s="10"/>
    </row>
    <row r="4" spans="1:24" x14ac:dyDescent="0.25">
      <c r="Q4" s="22">
        <v>1E-10</v>
      </c>
      <c r="R4" s="6" t="s">
        <v>57</v>
      </c>
      <c r="T4" s="8"/>
      <c r="U4" s="8"/>
      <c r="W4" s="10"/>
      <c r="X4" s="10"/>
    </row>
    <row r="5" spans="1:24" x14ac:dyDescent="0.25">
      <c r="Q5" s="22">
        <f>+E8-0.005</f>
        <v>5.4950000000000001</v>
      </c>
      <c r="R5" s="31" t="s">
        <v>58</v>
      </c>
      <c r="T5" s="8"/>
      <c r="U5" s="8"/>
      <c r="W5" s="10"/>
      <c r="X5" s="10"/>
    </row>
    <row r="6" spans="1:24" s="27" customFormat="1" ht="26.25" x14ac:dyDescent="0.4">
      <c r="A6" s="34" t="s">
        <v>68</v>
      </c>
      <c r="B6" s="34"/>
      <c r="C6" s="34"/>
      <c r="D6" s="34"/>
      <c r="E6" s="34"/>
      <c r="F6" s="34"/>
      <c r="G6" s="34"/>
      <c r="H6" s="34"/>
      <c r="I6" s="34"/>
      <c r="J6" s="24"/>
      <c r="K6" s="33"/>
      <c r="L6" s="25"/>
      <c r="M6" s="26"/>
      <c r="Q6" s="22">
        <f>+E9-0.005</f>
        <v>7.9950000000000001</v>
      </c>
      <c r="R6" s="31" t="s">
        <v>59</v>
      </c>
      <c r="T6" s="8" t="s">
        <v>39</v>
      </c>
      <c r="U6" s="8"/>
      <c r="V6" s="2"/>
      <c r="W6" s="10"/>
      <c r="X6" s="10"/>
    </row>
    <row r="7" spans="1:24" x14ac:dyDescent="0.25">
      <c r="Q7" s="22">
        <f>+E10-0.005</f>
        <v>9.9949999999999992</v>
      </c>
      <c r="R7" s="31" t="s">
        <v>60</v>
      </c>
      <c r="T7" s="8" t="s">
        <v>40</v>
      </c>
      <c r="U7" s="8"/>
      <c r="W7" s="10"/>
      <c r="X7" s="10"/>
    </row>
    <row r="8" spans="1:24" x14ac:dyDescent="0.25">
      <c r="B8" s="35" t="s">
        <v>53</v>
      </c>
      <c r="C8" s="35"/>
      <c r="D8" s="35"/>
      <c r="E8" s="3">
        <v>5.5</v>
      </c>
      <c r="T8" s="8" t="s">
        <v>41</v>
      </c>
      <c r="U8" s="8"/>
      <c r="W8" s="10"/>
      <c r="X8" s="10"/>
    </row>
    <row r="9" spans="1:24" x14ac:dyDescent="0.25">
      <c r="B9" s="35" t="s">
        <v>54</v>
      </c>
      <c r="C9" s="35"/>
      <c r="D9" s="35"/>
      <c r="E9" s="3">
        <v>8</v>
      </c>
      <c r="T9" s="8"/>
      <c r="U9" s="9"/>
      <c r="W9" s="10"/>
      <c r="X9" s="10"/>
    </row>
    <row r="10" spans="1:24" x14ac:dyDescent="0.25">
      <c r="B10" s="35" t="s">
        <v>55</v>
      </c>
      <c r="C10" s="35"/>
      <c r="D10" s="35"/>
      <c r="E10" s="3">
        <v>10</v>
      </c>
      <c r="T10" s="8"/>
      <c r="U10" s="9"/>
      <c r="W10" s="10"/>
      <c r="X10" s="10"/>
    </row>
    <row r="11" spans="1:24" x14ac:dyDescent="0.25">
      <c r="B11" s="18"/>
      <c r="C11" s="18"/>
      <c r="D11" s="18"/>
      <c r="E11" s="3"/>
      <c r="T11" s="8"/>
      <c r="U11" s="9"/>
      <c r="W11" s="10"/>
      <c r="X11" s="10"/>
    </row>
    <row r="12" spans="1:24" ht="18.75" x14ac:dyDescent="0.3">
      <c r="B12" s="16" t="s">
        <v>49</v>
      </c>
      <c r="E12" s="12">
        <f>L63</f>
        <v>10</v>
      </c>
      <c r="T12" s="8">
        <v>1</v>
      </c>
      <c r="U12" s="9">
        <f>L65</f>
        <v>-2</v>
      </c>
      <c r="W12" s="10" t="s">
        <v>17</v>
      </c>
      <c r="X12" s="10"/>
    </row>
    <row r="13" spans="1:24" ht="18.75" x14ac:dyDescent="0.3">
      <c r="B13" s="16" t="s">
        <v>9</v>
      </c>
      <c r="E13" s="12" t="str">
        <f>R3</f>
        <v>TT3</v>
      </c>
      <c r="T13" s="8">
        <v>1800</v>
      </c>
      <c r="U13" s="9">
        <v>-0.3</v>
      </c>
      <c r="W13" s="10">
        <v>3300</v>
      </c>
      <c r="X13" s="11">
        <v>0.1</v>
      </c>
    </row>
    <row r="14" spans="1:24" ht="19.5" thickBot="1" x14ac:dyDescent="0.35">
      <c r="B14" s="16"/>
      <c r="E14" s="12"/>
      <c r="G14" s="2"/>
      <c r="T14" s="8">
        <v>2200</v>
      </c>
      <c r="U14" s="9">
        <v>-0.2</v>
      </c>
      <c r="W14" s="10">
        <v>3400</v>
      </c>
      <c r="X14" s="11">
        <v>0.2</v>
      </c>
    </row>
    <row r="15" spans="1:24" ht="16.5" thickBot="1" x14ac:dyDescent="0.3">
      <c r="B15" s="14" t="s">
        <v>19</v>
      </c>
      <c r="E15" s="17">
        <v>3000</v>
      </c>
      <c r="G15" s="19" t="s">
        <v>25</v>
      </c>
      <c r="L15" s="4">
        <f>ROUNDUP(E15,0)</f>
        <v>3000</v>
      </c>
      <c r="M15" s="5" t="s">
        <v>26</v>
      </c>
      <c r="T15" s="8">
        <v>2600</v>
      </c>
      <c r="U15" s="9">
        <v>-0.1</v>
      </c>
      <c r="W15" s="10">
        <v>3500</v>
      </c>
      <c r="X15" s="11">
        <v>0.3</v>
      </c>
    </row>
    <row r="16" spans="1:24" ht="15.75" thickBot="1" x14ac:dyDescent="0.3">
      <c r="C16" s="15" t="s">
        <v>20</v>
      </c>
      <c r="G16" s="20">
        <f>IF(L31&lt;0,L31,L32)</f>
        <v>0</v>
      </c>
      <c r="T16" s="8">
        <v>3000</v>
      </c>
      <c r="U16" s="8">
        <v>0</v>
      </c>
      <c r="W16" s="10">
        <v>3600</v>
      </c>
      <c r="X16" s="11">
        <v>0.4</v>
      </c>
    </row>
    <row r="17" spans="2:24" ht="16.5" thickBot="1" x14ac:dyDescent="0.3">
      <c r="B17" s="14" t="s">
        <v>69</v>
      </c>
      <c r="E17" s="17">
        <v>300</v>
      </c>
      <c r="G17" s="19" t="s">
        <v>32</v>
      </c>
      <c r="K17" s="32">
        <v>0.1</v>
      </c>
      <c r="L17" s="4">
        <f>ROUND(IF(J19=TRUE,(E17*(1+K17)),E17),0)</f>
        <v>300</v>
      </c>
      <c r="M17" s="5" t="s">
        <v>3</v>
      </c>
      <c r="T17" s="8"/>
      <c r="U17" s="9"/>
      <c r="W17" s="10">
        <v>3700</v>
      </c>
      <c r="X17" s="11">
        <v>0.5</v>
      </c>
    </row>
    <row r="18" spans="2:24" x14ac:dyDescent="0.25">
      <c r="C18" s="15" t="s">
        <v>24</v>
      </c>
      <c r="G18" s="20">
        <f>L20</f>
        <v>10</v>
      </c>
      <c r="T18" s="8"/>
      <c r="U18" s="9"/>
      <c r="W18" s="10">
        <v>3800</v>
      </c>
      <c r="X18" s="11">
        <v>0.6</v>
      </c>
    </row>
    <row r="19" spans="2:24" x14ac:dyDescent="0.25">
      <c r="B19" s="13" t="s">
        <v>27</v>
      </c>
      <c r="G19" s="19" t="s">
        <v>31</v>
      </c>
      <c r="J19" s="1" t="b">
        <v>0</v>
      </c>
      <c r="T19" s="8"/>
      <c r="U19" s="9"/>
      <c r="W19" s="10"/>
      <c r="X19" s="11"/>
    </row>
    <row r="20" spans="2:24" x14ac:dyDescent="0.25">
      <c r="C20" s="15" t="s">
        <v>23</v>
      </c>
      <c r="G20" s="19">
        <f>L17</f>
        <v>300</v>
      </c>
      <c r="L20" s="4">
        <f>L15/L17</f>
        <v>10</v>
      </c>
      <c r="M20" s="5" t="s">
        <v>2</v>
      </c>
      <c r="T20" s="8"/>
      <c r="U20" s="9"/>
      <c r="W20" s="10"/>
      <c r="X20" s="11"/>
    </row>
    <row r="21" spans="2:24" x14ac:dyDescent="0.25">
      <c r="C21" s="15"/>
      <c r="T21" s="8"/>
      <c r="U21" s="9"/>
      <c r="W21" s="10"/>
      <c r="X21" s="11"/>
    </row>
    <row r="22" spans="2:24" x14ac:dyDescent="0.25">
      <c r="B22" s="28" t="s">
        <v>43</v>
      </c>
      <c r="C22" s="15"/>
      <c r="T22" s="8"/>
      <c r="U22" s="9"/>
      <c r="W22" s="10"/>
      <c r="X22" s="11"/>
    </row>
    <row r="23" spans="2:24" x14ac:dyDescent="0.25">
      <c r="B23" s="2" t="str">
        <f>"Non-Production Vehicle Modification Factor     "&amp;K23</f>
        <v>Non-Production Vehicle Modification Factor     -0.4</v>
      </c>
      <c r="C23" s="15"/>
      <c r="G23" s="21">
        <f>L23</f>
        <v>0</v>
      </c>
      <c r="J23" s="1" t="b">
        <v>0</v>
      </c>
      <c r="K23" s="32">
        <v>-0.4</v>
      </c>
      <c r="L23" s="4">
        <f>IF(J23=TRUE,K23,0)</f>
        <v>0</v>
      </c>
      <c r="M23" s="5" t="s">
        <v>36</v>
      </c>
      <c r="T23" s="8"/>
      <c r="U23" s="9"/>
      <c r="W23" s="10"/>
      <c r="X23" s="11"/>
    </row>
    <row r="24" spans="2:24" x14ac:dyDescent="0.25">
      <c r="C24" s="15"/>
      <c r="T24" s="8"/>
      <c r="U24" s="9"/>
      <c r="W24" s="10"/>
      <c r="X24" s="11"/>
    </row>
    <row r="25" spans="2:24" x14ac:dyDescent="0.25">
      <c r="B25" s="28" t="s">
        <v>44</v>
      </c>
      <c r="C25" s="15"/>
      <c r="T25" s="8"/>
      <c r="U25" s="9"/>
      <c r="W25" s="10"/>
      <c r="X25" s="11"/>
    </row>
    <row r="26" spans="2:24" x14ac:dyDescent="0.25">
      <c r="B26" s="2" t="str">
        <f>"4 door sedan or 5 door wagon +"&amp;K26</f>
        <v>4 door sedan or 5 door wagon +0.2</v>
      </c>
      <c r="C26" s="15"/>
      <c r="G26" s="21">
        <f>L26</f>
        <v>0</v>
      </c>
      <c r="J26" s="1" t="b">
        <v>0</v>
      </c>
      <c r="K26" s="32">
        <v>0.2</v>
      </c>
      <c r="L26" s="4">
        <f>IF(J26=TRUE,K26,0)</f>
        <v>0</v>
      </c>
      <c r="M26" s="5" t="s">
        <v>4</v>
      </c>
      <c r="T26" s="8"/>
      <c r="U26" s="9"/>
      <c r="W26" s="10"/>
      <c r="X26" s="11"/>
    </row>
    <row r="27" spans="2:24" x14ac:dyDescent="0.25">
      <c r="B27" s="2" t="str">
        <f>"Modification of the OEM roof line/shape     "&amp;K27</f>
        <v>Modification of the OEM roof line/shape     -0.3</v>
      </c>
      <c r="C27" s="15"/>
      <c r="G27" s="29">
        <f>L27</f>
        <v>0</v>
      </c>
      <c r="J27" s="1" t="b">
        <v>0</v>
      </c>
      <c r="K27" s="32">
        <v>-0.3</v>
      </c>
      <c r="L27" s="4">
        <f t="shared" ref="L27:L29" si="0">IF(J27=TRUE,K27,0)</f>
        <v>0</v>
      </c>
      <c r="M27" s="5" t="s">
        <v>29</v>
      </c>
      <c r="T27" s="8"/>
      <c r="U27" s="9"/>
      <c r="W27" s="10"/>
      <c r="X27" s="11"/>
    </row>
    <row r="28" spans="2:24" x14ac:dyDescent="0.25">
      <c r="B28" s="2" t="s">
        <v>28</v>
      </c>
      <c r="G28" s="36">
        <f>L28</f>
        <v>0</v>
      </c>
      <c r="J28" s="1" t="b">
        <v>0</v>
      </c>
      <c r="K28" s="32">
        <v>-0.2</v>
      </c>
      <c r="L28" s="4">
        <f t="shared" si="0"/>
        <v>0</v>
      </c>
      <c r="M28" s="5" t="s">
        <v>30</v>
      </c>
      <c r="T28" s="8"/>
      <c r="U28" s="9"/>
      <c r="W28" s="10"/>
      <c r="X28" s="11"/>
    </row>
    <row r="29" spans="2:24" x14ac:dyDescent="0.25">
      <c r="B29" s="2" t="str">
        <f>"and/or rocker panel for side exit exhaust only     "&amp;K28</f>
        <v>and/or rocker panel for side exit exhaust only     -0.2</v>
      </c>
      <c r="G29" s="36"/>
      <c r="J29" s="1" t="b">
        <v>0</v>
      </c>
      <c r="K29" s="32">
        <v>0.4</v>
      </c>
      <c r="L29" s="4">
        <f t="shared" si="0"/>
        <v>0</v>
      </c>
      <c r="M29" s="5" t="s">
        <v>33</v>
      </c>
      <c r="T29" s="8"/>
      <c r="U29" s="9"/>
      <c r="W29" s="10"/>
      <c r="X29" s="11"/>
    </row>
    <row r="30" spans="2:24" x14ac:dyDescent="0.25">
      <c r="B30" s="2" t="str">
        <f>"TT3 only - OEM Aero    + "&amp;K29</f>
        <v>TT3 only - OEM Aero    + 0.4</v>
      </c>
      <c r="G30" s="21">
        <f>L29</f>
        <v>0</v>
      </c>
      <c r="M30" s="2"/>
      <c r="T30" s="8"/>
      <c r="U30" s="8"/>
    </row>
    <row r="31" spans="2:24" x14ac:dyDescent="0.25">
      <c r="G31" s="2"/>
      <c r="L31" s="4">
        <f>IF(L15&lt;=3000,VLOOKUP(L15,T12:U16,2),0)</f>
        <v>0</v>
      </c>
      <c r="M31" s="5" t="s">
        <v>14</v>
      </c>
    </row>
    <row r="32" spans="2:24" x14ac:dyDescent="0.25">
      <c r="B32" s="2" t="s">
        <v>50</v>
      </c>
      <c r="G32" s="21"/>
      <c r="L32" s="4">
        <f>IF(L15&gt;=3300,VLOOKUP(L15,W13:X18,2),0)</f>
        <v>0</v>
      </c>
      <c r="M32" s="5" t="s">
        <v>13</v>
      </c>
    </row>
    <row r="33" spans="2:24" x14ac:dyDescent="0.25">
      <c r="G33" s="2"/>
      <c r="M33" s="2"/>
    </row>
    <row r="34" spans="2:24" x14ac:dyDescent="0.25">
      <c r="G34" s="2"/>
      <c r="M34" s="2"/>
    </row>
    <row r="35" spans="2:24" x14ac:dyDescent="0.25">
      <c r="B35" s="28" t="s">
        <v>45</v>
      </c>
      <c r="G35" s="21"/>
    </row>
    <row r="36" spans="2:24" x14ac:dyDescent="0.25">
      <c r="B36" s="2" t="str">
        <f>"Rotary Engine (2 rotors or less, 1 turbo or less)     +"&amp;K36</f>
        <v>Rotary Engine (2 rotors or less, 1 turbo or less)     +0.3</v>
      </c>
      <c r="G36" s="21">
        <f>L36</f>
        <v>0</v>
      </c>
      <c r="J36" s="1" t="b">
        <v>0</v>
      </c>
      <c r="K36" s="32">
        <v>0.3</v>
      </c>
      <c r="L36" s="4">
        <f>IF(J36=TRUE,0.3,0)</f>
        <v>0</v>
      </c>
      <c r="M36" s="2" t="s">
        <v>34</v>
      </c>
    </row>
    <row r="37" spans="2:24" x14ac:dyDescent="0.25">
      <c r="B37" s="2" t="str">
        <f>"Naturally Aspirated Engine (1.9L or less)     +"&amp;K37</f>
        <v>Naturally Aspirated Engine (1.9L or less)     +0.3</v>
      </c>
      <c r="G37" s="21">
        <f>L37</f>
        <v>0</v>
      </c>
      <c r="J37" s="1" t="b">
        <v>0</v>
      </c>
      <c r="K37" s="32">
        <v>0.3</v>
      </c>
      <c r="L37" s="4">
        <f>IF(J37=TRUE,0.3,0)</f>
        <v>0</v>
      </c>
      <c r="M37" s="2" t="s">
        <v>35</v>
      </c>
    </row>
    <row r="38" spans="2:24" x14ac:dyDescent="0.25">
      <c r="B38" s="2" t="str">
        <f>"Rear Engine Location (99+ year) Comp Weight &lt; 2700lbs     "&amp;K38</f>
        <v>Rear Engine Location (99+ year) Comp Weight &lt; 2700lbs     -0.2</v>
      </c>
      <c r="G38" s="36">
        <f>L38</f>
        <v>0</v>
      </c>
      <c r="J38" s="1" t="b">
        <v>0</v>
      </c>
      <c r="K38" s="32">
        <v>-0.2</v>
      </c>
      <c r="L38" s="4">
        <f>IF(J38,IF(E15&lt;2700,K38,IF(E15&lt;2901,K39,0)),0)</f>
        <v>0</v>
      </c>
      <c r="M38" s="2" t="s">
        <v>37</v>
      </c>
    </row>
    <row r="39" spans="2:24" x14ac:dyDescent="0.25">
      <c r="B39" s="2" t="str">
        <f>"Rear Engine Location (99+ year) Comp Weight 2700-2900lb     "&amp;K39</f>
        <v>Rear Engine Location (99+ year) Comp Weight 2700-2900lb     -0.1</v>
      </c>
      <c r="G39" s="36"/>
      <c r="K39" s="32">
        <v>-0.1</v>
      </c>
      <c r="M39" s="2"/>
    </row>
    <row r="40" spans="2:24" x14ac:dyDescent="0.25">
      <c r="G40" s="29"/>
      <c r="M40" s="2"/>
    </row>
    <row r="41" spans="2:24" x14ac:dyDescent="0.25">
      <c r="B41" s="28" t="s">
        <v>46</v>
      </c>
      <c r="G41" s="21"/>
      <c r="M41" s="2"/>
    </row>
    <row r="42" spans="2:24" x14ac:dyDescent="0.25">
      <c r="B42" s="2" t="s">
        <v>62</v>
      </c>
      <c r="G42" s="36">
        <f>L42</f>
        <v>0</v>
      </c>
      <c r="J42" s="1" t="b">
        <v>0</v>
      </c>
      <c r="K42" s="32">
        <v>-0.2</v>
      </c>
      <c r="L42" s="4">
        <f t="shared" ref="L42" si="1">IF(J42=TRUE,K42,0)</f>
        <v>0</v>
      </c>
      <c r="M42" s="5" t="s">
        <v>63</v>
      </c>
    </row>
    <row r="43" spans="2:24" x14ac:dyDescent="0.25">
      <c r="B43" s="2" t="str">
        <f>"and/or Sequential/Paddleshift/semi-automatic trans     "&amp;K42</f>
        <v>and/or Sequential/Paddleshift/semi-automatic trans     -0.2</v>
      </c>
      <c r="G43" s="36"/>
    </row>
    <row r="44" spans="2:24" x14ac:dyDescent="0.25">
      <c r="B44" s="2" t="s">
        <v>64</v>
      </c>
      <c r="G44" s="36">
        <f t="shared" ref="G44" si="2">L44</f>
        <v>0</v>
      </c>
      <c r="J44" s="1" t="b">
        <v>0</v>
      </c>
      <c r="K44" s="32">
        <v>-0.2</v>
      </c>
      <c r="L44" s="4">
        <f t="shared" ref="L44:L46" si="3">IF(J44=TRUE,K44,0)</f>
        <v>0</v>
      </c>
      <c r="M44" s="5" t="s">
        <v>65</v>
      </c>
      <c r="T44" s="8"/>
      <c r="U44" s="9"/>
      <c r="W44" s="10"/>
      <c r="X44" s="11"/>
    </row>
    <row r="45" spans="2:24" x14ac:dyDescent="0.25">
      <c r="B45" s="2" t="str">
        <f>"or sequential motorcycle gearbox     "&amp;K44</f>
        <v>or sequential motorcycle gearbox     -0.2</v>
      </c>
      <c r="G45" s="36"/>
      <c r="T45" s="8"/>
      <c r="U45" s="9"/>
      <c r="W45" s="10"/>
      <c r="X45" s="11"/>
    </row>
    <row r="46" spans="2:24" x14ac:dyDescent="0.25">
      <c r="B46" s="2" t="s">
        <v>66</v>
      </c>
      <c r="G46" s="36">
        <f t="shared" ref="G46" si="4">L46</f>
        <v>0</v>
      </c>
      <c r="J46" s="1" t="b">
        <v>0</v>
      </c>
      <c r="K46" s="32">
        <v>-0.6</v>
      </c>
      <c r="L46" s="4">
        <f t="shared" si="3"/>
        <v>0</v>
      </c>
      <c r="T46" s="8"/>
      <c r="U46" s="9"/>
      <c r="W46" s="10"/>
      <c r="X46" s="11"/>
    </row>
    <row r="47" spans="2:24" x14ac:dyDescent="0.25">
      <c r="B47" s="2" t="str">
        <f>"all other sequential/semi-automatic    "&amp;K46</f>
        <v>all other sequential/semi-automatic    -0.6</v>
      </c>
      <c r="G47" s="36"/>
      <c r="T47" s="8"/>
      <c r="U47" s="9"/>
      <c r="W47" s="10"/>
      <c r="X47" s="11"/>
    </row>
    <row r="48" spans="2:24" x14ac:dyDescent="0.25">
      <c r="G48" s="21"/>
    </row>
    <row r="49" spans="2:13" x14ac:dyDescent="0.25">
      <c r="B49" s="28" t="s">
        <v>47</v>
      </c>
      <c r="G49" s="21"/>
    </row>
    <row r="50" spans="2:13" x14ac:dyDescent="0.25">
      <c r="B50" s="2" t="str">
        <f>"All-Wheel Drive     "&amp;K50</f>
        <v>All-Wheel Drive     -0.3</v>
      </c>
      <c r="G50" s="21">
        <f>L50</f>
        <v>0</v>
      </c>
      <c r="J50" s="1" t="b">
        <v>0</v>
      </c>
      <c r="K50" s="32">
        <v>-0.3</v>
      </c>
      <c r="L50" s="4">
        <f t="shared" ref="L50:L51" si="5">IF(J50=TRUE,K50,0)</f>
        <v>0</v>
      </c>
      <c r="M50" s="5" t="s">
        <v>7</v>
      </c>
    </row>
    <row r="51" spans="2:13" x14ac:dyDescent="0.25">
      <c r="B51" s="2" t="str">
        <f>"Front-Wheel Drive     +"&amp;K51</f>
        <v>Front-Wheel Drive     +1</v>
      </c>
      <c r="G51" s="21">
        <f>L51</f>
        <v>0</v>
      </c>
      <c r="J51" s="1" t="b">
        <v>0</v>
      </c>
      <c r="K51" s="32">
        <v>1</v>
      </c>
      <c r="L51" s="4">
        <f t="shared" si="5"/>
        <v>0</v>
      </c>
      <c r="M51" s="5" t="s">
        <v>8</v>
      </c>
    </row>
    <row r="52" spans="2:13" x14ac:dyDescent="0.25">
      <c r="G52" s="21"/>
    </row>
    <row r="53" spans="2:13" x14ac:dyDescent="0.25">
      <c r="G53" s="21"/>
    </row>
    <row r="54" spans="2:13" x14ac:dyDescent="0.25">
      <c r="B54" s="28" t="s">
        <v>48</v>
      </c>
      <c r="G54" s="21"/>
      <c r="M54" s="2"/>
    </row>
    <row r="55" spans="2:13" x14ac:dyDescent="0.25">
      <c r="B55" s="2" t="str">
        <f>"Non-DOT Approved Compound/Construction tires     "&amp;K55</f>
        <v>Non-DOT Approved Compound/Construction tires     -0.5</v>
      </c>
      <c r="G55" s="21">
        <f>L55</f>
        <v>0</v>
      </c>
      <c r="J55" s="1" t="b">
        <v>0</v>
      </c>
      <c r="K55" s="32">
        <v>-0.5</v>
      </c>
      <c r="L55" s="4">
        <f t="shared" ref="L55:L59" si="6">IF(J55=TRUE,K55,0)</f>
        <v>0</v>
      </c>
      <c r="M55" s="5" t="s">
        <v>10</v>
      </c>
    </row>
    <row r="56" spans="2:13" x14ac:dyDescent="0.25">
      <c r="B56" s="2" t="str">
        <f>"Non-DOT Tire Size 10.5 (267mm) to 9.6 (244mm)     +"&amp;K56</f>
        <v>Non-DOT Tire Size 10.5 (267mm) to 9.6 (244mm)     +0.3</v>
      </c>
      <c r="G56" s="21">
        <f>L56</f>
        <v>0</v>
      </c>
      <c r="J56" s="1" t="b">
        <v>0</v>
      </c>
      <c r="K56" s="32">
        <v>0.3</v>
      </c>
      <c r="L56" s="4">
        <f t="shared" si="6"/>
        <v>0</v>
      </c>
      <c r="M56" s="5" t="s">
        <v>11</v>
      </c>
    </row>
    <row r="57" spans="2:13" x14ac:dyDescent="0.25">
      <c r="B57" s="2" t="str">
        <f>"Non-DOT Tire Size 9.5 (241mm) or smaller     +"&amp;K57</f>
        <v>Non-DOT Tire Size 9.5 (241mm) or smaller     +0.7</v>
      </c>
      <c r="G57" s="21">
        <f>L57</f>
        <v>0</v>
      </c>
      <c r="J57" s="1" t="b">
        <v>0</v>
      </c>
      <c r="K57" s="32">
        <v>0.7</v>
      </c>
      <c r="L57" s="4">
        <f t="shared" si="6"/>
        <v>0</v>
      </c>
      <c r="M57" s="5" t="s">
        <v>12</v>
      </c>
    </row>
    <row r="58" spans="2:13" x14ac:dyDescent="0.25">
      <c r="B58" s="2" t="str">
        <f>"DOT-approved Tire Width 250 to 275     +"&amp;K58</f>
        <v>DOT-approved Tire Width 250 to 275     +0.3</v>
      </c>
      <c r="G58" s="21">
        <f>L58</f>
        <v>0</v>
      </c>
      <c r="J58" s="1" t="b">
        <v>0</v>
      </c>
      <c r="K58" s="32">
        <v>0.3</v>
      </c>
      <c r="L58" s="4">
        <f t="shared" si="6"/>
        <v>0</v>
      </c>
      <c r="M58" s="5" t="s">
        <v>11</v>
      </c>
    </row>
    <row r="59" spans="2:13" x14ac:dyDescent="0.25">
      <c r="B59" s="2" t="str">
        <f>"DOT-approved Tire Width 245 or smaller     +"&amp;K59</f>
        <v>DOT-approved Tire Width 245 or smaller     +0.7</v>
      </c>
      <c r="G59" s="21">
        <f>L59</f>
        <v>0</v>
      </c>
      <c r="J59" s="1" t="b">
        <v>0</v>
      </c>
      <c r="K59" s="32">
        <v>0.7</v>
      </c>
      <c r="L59" s="4">
        <f t="shared" si="6"/>
        <v>0</v>
      </c>
      <c r="M59" s="5" t="s">
        <v>12</v>
      </c>
    </row>
    <row r="60" spans="2:13" ht="15.75" thickBot="1" x14ac:dyDescent="0.3">
      <c r="G60" s="21"/>
      <c r="M60" s="2"/>
    </row>
    <row r="61" spans="2:13" ht="15.75" thickBot="1" x14ac:dyDescent="0.3">
      <c r="B61" s="2" t="s">
        <v>56</v>
      </c>
      <c r="E61" s="17"/>
      <c r="G61" s="21">
        <f>E61</f>
        <v>0</v>
      </c>
      <c r="L61" s="4">
        <f>E61</f>
        <v>0</v>
      </c>
      <c r="M61" s="5" t="s">
        <v>5</v>
      </c>
    </row>
    <row r="62" spans="2:13" x14ac:dyDescent="0.25">
      <c r="B62" s="15" t="s">
        <v>21</v>
      </c>
    </row>
    <row r="63" spans="2:13" x14ac:dyDescent="0.25">
      <c r="B63" s="15" t="s">
        <v>22</v>
      </c>
      <c r="L63" s="4">
        <f>L20+SUM(L23:L62)</f>
        <v>10</v>
      </c>
      <c r="M63" s="5" t="s">
        <v>6</v>
      </c>
    </row>
    <row r="65" spans="2:13" ht="12.75" customHeight="1" x14ac:dyDescent="0.25">
      <c r="B65" s="2" t="s">
        <v>38</v>
      </c>
      <c r="J65" s="1" t="b">
        <v>0</v>
      </c>
      <c r="L65" s="30">
        <f>IF(J65,-0.3,-2)</f>
        <v>-2</v>
      </c>
      <c r="M65" s="2" t="s">
        <v>42</v>
      </c>
    </row>
    <row r="66" spans="2:13" x14ac:dyDescent="0.25">
      <c r="B66" s="2" t="s">
        <v>67</v>
      </c>
    </row>
    <row r="67" spans="2:13" x14ac:dyDescent="0.25">
      <c r="B67" s="2" t="s">
        <v>52</v>
      </c>
    </row>
    <row r="68" spans="2:13" x14ac:dyDescent="0.25">
      <c r="B68" s="2" t="s">
        <v>51</v>
      </c>
    </row>
  </sheetData>
  <mergeCells count="9">
    <mergeCell ref="A6:I6"/>
    <mergeCell ref="B10:D10"/>
    <mergeCell ref="G38:G39"/>
    <mergeCell ref="G44:G45"/>
    <mergeCell ref="G46:G47"/>
    <mergeCell ref="G42:G43"/>
    <mergeCell ref="G28:G29"/>
    <mergeCell ref="B9:D9"/>
    <mergeCell ref="B8:D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171450</xdr:rowOff>
                  </from>
                  <to>
                    <xdr:col>5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161925</xdr:rowOff>
                  </from>
                  <to>
                    <xdr:col>5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76200</xdr:rowOff>
                  </from>
                  <to>
                    <xdr:col>5</xdr:col>
                    <xdr:colOff>9525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48</xdr:row>
                    <xdr:rowOff>171450</xdr:rowOff>
                  </from>
                  <to>
                    <xdr:col>5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49</xdr:row>
                    <xdr:rowOff>171450</xdr:rowOff>
                  </from>
                  <to>
                    <xdr:col>5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161925</xdr:rowOff>
                  </from>
                  <to>
                    <xdr:col>5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171450</xdr:rowOff>
                  </from>
                  <to>
                    <xdr:col>5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55</xdr:row>
                    <xdr:rowOff>171450</xdr:rowOff>
                  </from>
                  <to>
                    <xdr:col>5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56</xdr:row>
                    <xdr:rowOff>171450</xdr:rowOff>
                  </from>
                  <to>
                    <xdr:col>5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57</xdr:row>
                    <xdr:rowOff>171450</xdr:rowOff>
                  </from>
                  <to>
                    <xdr:col>5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171450</xdr:rowOff>
                  </from>
                  <to>
                    <xdr:col>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104775</xdr:rowOff>
                  </from>
                  <to>
                    <xdr:col>5</xdr:col>
                    <xdr:colOff>9525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171450</xdr:rowOff>
                  </from>
                  <to>
                    <xdr:col>5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34</xdr:row>
                    <xdr:rowOff>161925</xdr:rowOff>
                  </from>
                  <to>
                    <xdr:col>5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171450</xdr:rowOff>
                  </from>
                  <to>
                    <xdr:col>5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161925</xdr:rowOff>
                  </from>
                  <to>
                    <xdr:col>5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171450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63</xdr:row>
                    <xdr:rowOff>152400</xdr:rowOff>
                  </from>
                  <to>
                    <xdr:col>5</xdr:col>
                    <xdr:colOff>9525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219075</xdr:colOff>
                    <xdr:row>42</xdr:row>
                    <xdr:rowOff>161925</xdr:rowOff>
                  </from>
                  <to>
                    <xdr:col>5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228600</xdr:colOff>
                    <xdr:row>45</xdr:row>
                    <xdr:rowOff>66675</xdr:rowOff>
                  </from>
                  <to>
                    <xdr:col>5</xdr:col>
                    <xdr:colOff>19050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 123 &amp; ST Calculator</vt:lpstr>
    </vt:vector>
  </TitlesOfParts>
  <Company>Kinder Morgan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brewken1</dc:creator>
  <cp:lastModifiedBy>Molly McCarthy</cp:lastModifiedBy>
  <dcterms:created xsi:type="dcterms:W3CDTF">2012-02-16T16:25:26Z</dcterms:created>
  <dcterms:modified xsi:type="dcterms:W3CDTF">2015-12-21T21:52:55Z</dcterms:modified>
</cp:coreProperties>
</file>